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aklanecapital2-my.sharepoint.com/personal/chetan_bhoite_oaklanecapital_com/Documents/Chetan/Fees/"/>
    </mc:Choice>
  </mc:AlternateContent>
  <xr:revisionPtr revIDLastSave="359" documentId="8_{9104C631-A7A5-431D-8D90-9407915B1CBB}" xr6:coauthVersionLast="47" xr6:coauthVersionMax="47" xr10:uidLastSave="{66EA0B9C-F594-45DD-A617-9A95F5F18D5F}"/>
  <bookViews>
    <workbookView xWindow="-120" yWindow="-120" windowWidth="29040" windowHeight="15720" tabRatio="830" xr2:uid="{00000000-000D-0000-FFFF-FFFF00000000}"/>
  </bookViews>
  <sheets>
    <sheet name="One Year-Fixed Fees" sheetId="7" r:id="rId1"/>
    <sheet name="One Year-Hybrid Fees" sheetId="6" r:id="rId2"/>
    <sheet name="One Year- Variable Fees" sheetId="10" r:id="rId3"/>
    <sheet name="Multi Year- Hybrid Fees" sheetId="14" r:id="rId4"/>
    <sheet name="Control Sheet" sheetId="15" state="hidden" r:id="rId5"/>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14" l="1"/>
  <c r="B39" i="14"/>
  <c r="B40" i="14"/>
  <c r="B41" i="14" s="1"/>
  <c r="B42" i="14" s="1"/>
  <c r="B43" i="14" s="1"/>
  <c r="B44" i="14" s="1"/>
  <c r="B45" i="14" s="1"/>
  <c r="B46" i="14" s="1"/>
  <c r="B47" i="14" s="1"/>
  <c r="B48" i="14" s="1"/>
  <c r="C3" i="15"/>
  <c r="E2" i="15"/>
  <c r="F2" i="15" s="1"/>
  <c r="G2" i="15" s="1"/>
  <c r="D2" i="15"/>
  <c r="C4" i="15" l="1"/>
  <c r="C5" i="15" l="1"/>
  <c r="C6" i="15" s="1"/>
  <c r="C7" i="15" s="1"/>
  <c r="C8" i="15" l="1"/>
  <c r="C9" i="15" s="1"/>
  <c r="D3" i="15" s="1"/>
  <c r="D4" i="15" l="1"/>
  <c r="D5" i="15" l="1"/>
  <c r="D6" i="15" s="1"/>
  <c r="D7" i="15" l="1"/>
  <c r="D8" i="15" l="1"/>
  <c r="D9" i="15" s="1"/>
  <c r="E3" i="15" s="1"/>
  <c r="E4" i="15" l="1"/>
  <c r="E5" i="15" s="1"/>
  <c r="E6" i="15" l="1"/>
  <c r="E7" i="15" s="1"/>
  <c r="E8" i="15" l="1"/>
  <c r="E9" i="15" s="1"/>
  <c r="F3" i="15" s="1"/>
  <c r="F4" i="15" l="1"/>
  <c r="F5" i="15"/>
  <c r="F6" i="15" s="1"/>
  <c r="F7" i="15" l="1"/>
  <c r="F8" i="15" l="1"/>
  <c r="F9" i="15" s="1"/>
  <c r="G3" i="15" s="1"/>
  <c r="G4" i="15" l="1"/>
  <c r="G5" i="15" s="1"/>
  <c r="G6" i="15" l="1"/>
  <c r="G7" i="15" s="1"/>
  <c r="G8" i="15" l="1"/>
  <c r="G9" i="15" s="1"/>
  <c r="F13" i="14" l="1"/>
  <c r="F25" i="14" l="1"/>
  <c r="F14" i="14"/>
  <c r="F15" i="14" s="1"/>
  <c r="F20" i="6"/>
  <c r="B26" i="7"/>
  <c r="B27" i="7" s="1"/>
  <c r="B28" i="7" s="1"/>
  <c r="B29" i="7" s="1"/>
  <c r="B30" i="7" s="1"/>
  <c r="B39" i="10"/>
  <c r="B40" i="10" s="1"/>
  <c r="B41" i="10" s="1"/>
  <c r="B42" i="10" s="1"/>
  <c r="B43" i="10" s="1"/>
  <c r="B44" i="10" s="1"/>
  <c r="B45" i="10" s="1"/>
  <c r="B46" i="10" s="1"/>
  <c r="B47" i="10" s="1"/>
  <c r="B48" i="10" s="1"/>
  <c r="F26" i="14" l="1"/>
  <c r="F17" i="14"/>
  <c r="F20" i="14" s="1"/>
  <c r="J12" i="10"/>
  <c r="J24" i="10" s="1"/>
  <c r="H12" i="10"/>
  <c r="H24" i="10" s="1"/>
  <c r="F12" i="10"/>
  <c r="F24" i="10" s="1"/>
  <c r="B31" i="7"/>
  <c r="B39" i="6"/>
  <c r="B40" i="6" s="1"/>
  <c r="B41" i="6" s="1"/>
  <c r="B42" i="6" s="1"/>
  <c r="B43" i="6" s="1"/>
  <c r="B44" i="6" s="1"/>
  <c r="B45" i="6" s="1"/>
  <c r="B46" i="6" s="1"/>
  <c r="B47" i="6" s="1"/>
  <c r="B48" i="6" s="1"/>
  <c r="F19" i="14" l="1"/>
  <c r="F21" i="14" s="1"/>
  <c r="F22" i="14" s="1"/>
  <c r="F24" i="14" s="1"/>
  <c r="F28" i="14" s="1"/>
  <c r="F25" i="10"/>
  <c r="J25" i="10"/>
  <c r="H25" i="10"/>
  <c r="H13" i="10"/>
  <c r="H14" i="10" s="1"/>
  <c r="H16" i="10" s="1"/>
  <c r="F13" i="10"/>
  <c r="F14" i="10" s="1"/>
  <c r="F16" i="10" s="1"/>
  <c r="J13" i="10"/>
  <c r="J14" i="10" s="1"/>
  <c r="J16" i="10" s="1"/>
  <c r="F30" i="14" l="1"/>
  <c r="J19" i="10"/>
  <c r="J18" i="10"/>
  <c r="F19" i="10"/>
  <c r="F18" i="10"/>
  <c r="H19" i="10"/>
  <c r="H18" i="10"/>
  <c r="F32" i="14" l="1"/>
  <c r="F35" i="14" s="1"/>
  <c r="F29" i="14"/>
  <c r="J20" i="10"/>
  <c r="J21" i="10" s="1"/>
  <c r="J23" i="10" s="1"/>
  <c r="J35" i="10" s="1"/>
  <c r="H20" i="10"/>
  <c r="H21" i="10" s="1"/>
  <c r="H23" i="10" s="1"/>
  <c r="H35" i="10" s="1"/>
  <c r="F20" i="10"/>
  <c r="F21" i="10" s="1"/>
  <c r="F23" i="10" s="1"/>
  <c r="F35" i="10" s="1"/>
  <c r="J10" i="7"/>
  <c r="H10" i="7"/>
  <c r="F10" i="7"/>
  <c r="J12" i="6"/>
  <c r="J13" i="6" s="1"/>
  <c r="H12" i="6"/>
  <c r="H13" i="6" s="1"/>
  <c r="F12" i="6"/>
  <c r="F13" i="6" s="1"/>
  <c r="H25" i="14" l="1"/>
  <c r="H13" i="14"/>
  <c r="F33" i="14"/>
  <c r="F26" i="10"/>
  <c r="H26" i="10"/>
  <c r="J26" i="10"/>
  <c r="J11" i="7"/>
  <c r="J12" i="7" s="1"/>
  <c r="J14" i="7" s="1"/>
  <c r="J24" i="6"/>
  <c r="F24" i="6"/>
  <c r="F25" i="6" s="1"/>
  <c r="H24" i="6"/>
  <c r="H11" i="7"/>
  <c r="H12" i="7" s="1"/>
  <c r="F11" i="7"/>
  <c r="F12" i="7" s="1"/>
  <c r="F14" i="7" s="1"/>
  <c r="F14" i="6"/>
  <c r="H14" i="6"/>
  <c r="J14" i="6"/>
  <c r="H26" i="14" l="1"/>
  <c r="H14" i="14"/>
  <c r="H15" i="14" s="1"/>
  <c r="H17" i="14" s="1"/>
  <c r="F16" i="7"/>
  <c r="H25" i="6"/>
  <c r="J25" i="6"/>
  <c r="H28" i="10"/>
  <c r="H29" i="10" s="1"/>
  <c r="H31" i="10" s="1"/>
  <c r="J28" i="10"/>
  <c r="J29" i="10" s="1"/>
  <c r="J31" i="10" s="1"/>
  <c r="F28" i="10"/>
  <c r="F29" i="10" s="1"/>
  <c r="F31" i="10" s="1"/>
  <c r="J17" i="7"/>
  <c r="J16" i="7"/>
  <c r="H14" i="7"/>
  <c r="H16" i="6"/>
  <c r="F16" i="6"/>
  <c r="J16" i="6"/>
  <c r="H19" i="14" l="1"/>
  <c r="H20" i="14"/>
  <c r="F19" i="6"/>
  <c r="F18" i="6"/>
  <c r="H32" i="10"/>
  <c r="H34" i="10"/>
  <c r="F32" i="10"/>
  <c r="F34" i="10"/>
  <c r="J32" i="10"/>
  <c r="J34" i="10"/>
  <c r="J19" i="6"/>
  <c r="H19" i="6"/>
  <c r="J18" i="7"/>
  <c r="J19" i="7" s="1"/>
  <c r="J21" i="7" s="1"/>
  <c r="J22" i="7" s="1"/>
  <c r="F17" i="7"/>
  <c r="F18" i="7" s="1"/>
  <c r="F19" i="7" s="1"/>
  <c r="H17" i="7"/>
  <c r="H16" i="7"/>
  <c r="H18" i="7" s="1"/>
  <c r="J18" i="6"/>
  <c r="H18" i="6"/>
  <c r="H21" i="14" l="1"/>
  <c r="H22" i="14" s="1"/>
  <c r="H24" i="14" s="1"/>
  <c r="F21" i="7"/>
  <c r="F22" i="7" s="1"/>
  <c r="F21" i="6"/>
  <c r="F23" i="6" s="1"/>
  <c r="F35" i="6" s="1"/>
  <c r="H20" i="6"/>
  <c r="H21" i="6" s="1"/>
  <c r="H23" i="6" s="1"/>
  <c r="J20" i="6"/>
  <c r="J21" i="6" s="1"/>
  <c r="J23" i="6" s="1"/>
  <c r="H19" i="7"/>
  <c r="H21" i="7" s="1"/>
  <c r="H22" i="7" s="1"/>
  <c r="H28" i="14" l="1"/>
  <c r="H30" i="14" s="1"/>
  <c r="H29" i="14" s="1"/>
  <c r="J26" i="6"/>
  <c r="J28" i="6" s="1"/>
  <c r="J29" i="6" s="1"/>
  <c r="J31" i="6" s="1"/>
  <c r="J35" i="6"/>
  <c r="H26" i="6"/>
  <c r="H28" i="6" s="1"/>
  <c r="H29" i="6" s="1"/>
  <c r="H31" i="6" s="1"/>
  <c r="H35" i="6"/>
  <c r="F26" i="6"/>
  <c r="F28" i="6" s="1"/>
  <c r="F29" i="6" s="1"/>
  <c r="H32" i="14" l="1"/>
  <c r="H35" i="14" s="1"/>
  <c r="H34" i="6"/>
  <c r="H32" i="6"/>
  <c r="J32" i="6"/>
  <c r="J34" i="6"/>
  <c r="F31" i="6"/>
  <c r="F34" i="6" s="1"/>
  <c r="H33" i="14" l="1"/>
  <c r="J13" i="14"/>
  <c r="J14" i="14" s="1"/>
  <c r="J15" i="14" s="1"/>
  <c r="J17" i="14" s="1"/>
  <c r="J19" i="14" s="1"/>
  <c r="J25" i="14"/>
  <c r="J26" i="14" s="1"/>
  <c r="F32" i="6"/>
  <c r="J20" i="14" l="1"/>
  <c r="J21" i="14"/>
  <c r="J22" i="14" s="1"/>
  <c r="J24" i="14" s="1"/>
  <c r="J28" i="14"/>
  <c r="J30" i="14" s="1"/>
  <c r="J29" i="14" s="1"/>
  <c r="J32" i="14" l="1"/>
  <c r="J35" i="14" s="1"/>
  <c r="L25" i="14" l="1"/>
  <c r="L13" i="14"/>
  <c r="L14" i="14" s="1"/>
  <c r="L15" i="14" s="1"/>
  <c r="L17" i="14" s="1"/>
  <c r="L20" i="14" s="1"/>
  <c r="J33" i="14"/>
  <c r="L26" i="14" l="1"/>
  <c r="L19" i="14"/>
  <c r="L21" i="14" s="1"/>
  <c r="L22" i="14" s="1"/>
  <c r="L24" i="14" s="1"/>
  <c r="L28" i="14" l="1"/>
  <c r="L30" i="14" l="1"/>
  <c r="L29" i="14" s="1"/>
  <c r="L32" i="14" l="1"/>
  <c r="L33" i="14" s="1"/>
  <c r="N25" i="14"/>
  <c r="L35" i="14"/>
  <c r="N13" i="14" l="1"/>
  <c r="N14" i="14" s="1"/>
  <c r="N15" i="14" s="1"/>
  <c r="N17" i="14" s="1"/>
  <c r="N26" i="14"/>
  <c r="N19" i="14"/>
  <c r="N20" i="14"/>
  <c r="N21" i="14" l="1"/>
  <c r="N22" i="14" s="1"/>
  <c r="N24" i="14" s="1"/>
  <c r="N28" i="14" l="1"/>
  <c r="N30" i="14" l="1"/>
  <c r="N29" i="14" s="1"/>
  <c r="N32" i="14" l="1"/>
  <c r="N33" i="14"/>
  <c r="N35" i="14"/>
</calcChain>
</file>

<file path=xl/sharedStrings.xml><?xml version="1.0" encoding="utf-8"?>
<sst xmlns="http://schemas.openxmlformats.org/spreadsheetml/2006/main" count="322" uniqueCount="125">
  <si>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</si>
  <si>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</si>
  <si>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</si>
  <si>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</si>
  <si>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</si>
  <si>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</si>
  <si>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</si>
  <si>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</si>
  <si>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</si>
  <si>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</si>
  <si>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</si>
  <si>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</si>
  <si>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</si>
  <si>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</si>
  <si>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</si>
  <si>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</si>
  <si>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</si>
  <si>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</si>
  <si>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</si>
  <si>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</si>
  <si>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</si>
  <si>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</si>
  <si>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</si>
  <si>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</si>
  <si>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</si>
  <si>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</si>
  <si>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</si>
  <si>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</si>
  <si>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</si>
  <si>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</si>
  <si>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</si>
  <si>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</si>
  <si>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</si>
  <si>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</si>
  <si>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</si>
  <si>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</si>
  <si>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</si>
  <si>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</si>
  <si>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</si>
  <si>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</si>
  <si>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</si>
  <si>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</si>
  <si>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</si>
  <si>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</si>
  <si>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</si>
  <si>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</si>
  <si>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</si>
  <si>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</si>
  <si>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</si>
  <si>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</si>
  <si>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</si>
  <si>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</si>
  <si>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</si>
  <si>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</si>
  <si>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</si>
  <si>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</si>
  <si>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</si>
  <si>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</si>
  <si>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</si>
  <si>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</si>
  <si>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</si>
  <si>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</si>
  <si>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</si>
  <si>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</si>
  <si>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</si>
  <si>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</si>
  <si>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</si>
  <si>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</si>
  <si>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</si>
  <si>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</si>
  <si>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</si>
  <si>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</si>
  <si>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</si>
  <si>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</si>
  <si>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</si>
  <si>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</si>
  <si>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</si>
  <si>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</si>
  <si>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</si>
  <si>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</si>
  <si>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</si>
  <si>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</si>
  <si>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</si>
  <si>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</si>
  <si>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</si>
  <si>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</si>
  <si>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</si>
  <si>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</si>
  <si>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</si>
  <si>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</si>
  <si>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</si>
  <si>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</si>
  <si>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</si>
  <si>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</si>
  <si>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</si>
  <si>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</si>
  <si>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</si>
  <si>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Is the Performance Fee charged?</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</si>
  <si>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</si>
  <si>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</si>
  <si>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</si>
  <si>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</si>
  <si>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</si>
  <si>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</si>
  <si>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</si>
  <si>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</si>
  <si>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</si>
  <si>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</si>
  <si>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</si>
  <si>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</si>
  <si>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</si>
  <si>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</si>
  <si>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</si>
  <si>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Op AUM</t>
  </si>
  <si>
    <t>Returns</t>
  </si>
  <si>
    <t>Performance Fee</t>
  </si>
  <si>
    <t>HWM / AUM bef Pfees</t>
  </si>
  <si>
    <t>Cl AUM</t>
  </si>
  <si>
    <t>Expenses</t>
  </si>
  <si>
    <t>Fixed Fees</t>
  </si>
  <si>
    <t xml:space="preserve">High Water Mark Value (HWM) (Capital contributed for 1st year or Closing HWM value of previous year) </t>
  </si>
  <si>
    <t xml:space="preserve">Hurdle Rate of return (Higher of Capital Contributed or HWM multiplied by Hurdle Rate) </t>
  </si>
  <si>
    <t>xii = ix - (x+xi)</t>
  </si>
  <si>
    <t>xiv = xii * d</t>
  </si>
  <si>
    <t>xix = Max (i , xv)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</si>
</sst>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_ ;[Red]\-#,##0.00\ "/>
    <numFmt numFmtId="165" formatCode="#,##0_ ;[Red]\-#,##0\ "/>
    <numFmt numFmtId="166" formatCode="#,##0.0_ ;[Red]\-#,##0.0\ "/>
    <numFmt numFmtId="167" formatCode="0.000000000000000%"/>
    <numFmt numFmtId="170"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21"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2" fillId="0" borderId="28"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29" xfId="0" applyBorder="1" applyAlignment="1">
      <alignment vertical="center"/>
    </xf>
    <xf numFmtId="9" fontId="2" fillId="0" borderId="30" xfId="0" applyNumberFormat="1" applyFont="1" applyBorder="1" applyAlignment="1">
      <alignment horizontal="left" vertical="center"/>
    </xf>
    <xf numFmtId="0" fontId="5" fillId="0" borderId="34" xfId="0" applyFont="1" applyBorder="1" applyAlignment="1">
      <alignment horizontal="right" vertical="center"/>
    </xf>
    <xf numFmtId="9" fontId="5" fillId="2" borderId="35" xfId="0" applyNumberFormat="1" applyFont="1" applyFill="1" applyBorder="1" applyAlignment="1">
      <alignment horizontal="left" vertical="center"/>
    </xf>
    <xf numFmtId="0" fontId="5" fillId="0" borderId="36" xfId="0" applyFont="1" applyBorder="1" applyAlignment="1">
      <alignment horizontal="right" vertical="center"/>
    </xf>
    <xf numFmtId="9" fontId="5" fillId="2" borderId="36" xfId="0" applyNumberFormat="1" applyFont="1" applyFill="1" applyBorder="1" applyAlignment="1">
      <alignment horizontal="left" vertical="center"/>
    </xf>
    <xf numFmtId="9" fontId="5" fillId="2" borderId="37" xfId="0" applyNumberFormat="1" applyFont="1" applyFill="1" applyBorder="1" applyAlignment="1">
      <alignment horizontal="left" vertical="center"/>
    </xf>
    <xf numFmtId="0" fontId="0" fillId="0" borderId="21" xfId="0" applyBorder="1"/>
    <xf numFmtId="0" fontId="0" fillId="0" borderId="14" xfId="0" applyBorder="1"/>
    <xf numFmtId="0" fontId="5" fillId="0" borderId="0" xfId="0" applyFont="1" applyAlignment="1">
      <alignmen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5" xfId="0" applyFont="1" applyBorder="1" applyAlignment="1">
      <alignment horizontal="center" vertical="center"/>
    </xf>
    <xf numFmtId="0" fontId="4" fillId="0" borderId="27"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4" fillId="0" borderId="30" xfId="0" applyFont="1" applyBorder="1"/>
    <xf numFmtId="0" fontId="4" fillId="0" borderId="13" xfId="0" applyFont="1" applyBorder="1"/>
    <xf numFmtId="164"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6" fontId="3" fillId="0" borderId="1" xfId="0" applyNumberFormat="1" applyFont="1" applyBorder="1" applyAlignment="1">
      <alignment horizontal="right" vertical="center"/>
    </xf>
    <xf numFmtId="0" fontId="6" fillId="0" borderId="8" xfId="0" applyFont="1" applyBorder="1" applyAlignment="1">
      <alignment vertical="center" wrapText="1"/>
    </xf>
    <xf numFmtId="0" fontId="7" fillId="0" borderId="19" xfId="0" applyFont="1" applyBorder="1"/>
    <xf numFmtId="0" fontId="7" fillId="0" borderId="20" xfId="0" applyFont="1" applyBorder="1"/>
    <xf numFmtId="10" fontId="3" fillId="0" borderId="1" xfId="0" applyNumberFormat="1" applyFont="1" applyBorder="1" applyAlignment="1">
      <alignment horizontal="right" vertical="center"/>
    </xf>
    <xf numFmtId="3" fontId="3" fillId="0" borderId="0" xfId="0" applyNumberFormat="1" applyFont="1" applyAlignment="1">
      <alignment vertical="center"/>
    </xf>
    <xf numFmtId="3" fontId="5" fillId="0" borderId="0" xfId="0" applyNumberFormat="1" applyFont="1" applyAlignment="1">
      <alignment vertical="center"/>
    </xf>
    <xf numFmtId="0" fontId="5" fillId="0" borderId="0" xfId="0" applyFont="1" applyAlignment="1">
      <alignment vertical="center"/>
    </xf>
    <xf numFmtId="0" fontId="2" fillId="0" borderId="0" xfId="0" applyFont="1"/>
    <xf numFmtId="0" fontId="5" fillId="0" borderId="0" xfId="0" applyFont="1" applyAlignment="1">
      <alignment horizontal="center" vertical="center"/>
    </xf>
    <xf numFmtId="170" fontId="3" fillId="0" borderId="0" xfId="1" applyNumberFormat="1" applyFont="1" applyAlignment="1">
      <alignment vertical="center"/>
    </xf>
    <xf numFmtId="170" fontId="0" fillId="0" borderId="0" xfId="1" applyNumberFormat="1" applyFont="1"/>
    <xf numFmtId="170" fontId="3" fillId="0" borderId="1" xfId="1" applyNumberFormat="1" applyFont="1" applyBorder="1" applyAlignment="1">
      <alignment horizontal="right" vertical="center"/>
    </xf>
    <xf numFmtId="170" fontId="4" fillId="0" borderId="1" xfId="1" applyNumberFormat="1" applyFont="1" applyBorder="1"/>
    <xf numFmtId="165" fontId="3" fillId="0" borderId="1" xfId="0" applyNumberFormat="1" applyFont="1" applyBorder="1" applyAlignment="1">
      <alignment horizontal="center" vertical="center"/>
    </xf>
    <xf numFmtId="0" fontId="4" fillId="0" borderId="1" xfId="0" applyFont="1" applyBorder="1" applyAlignment="1">
      <alignment horizontal="center"/>
    </xf>
    <xf numFmtId="0" fontId="0" fillId="0" borderId="38" xfId="0" quotePrefix="1" applyBorder="1" applyAlignment="1">
      <alignment vertical="center" wrapText="1"/>
    </xf>
    <xf numFmtId="0" fontId="0" fillId="0" borderId="38" xfId="0" applyBorder="1" applyAlignment="1">
      <alignment vertical="center" wrapText="1"/>
    </xf>
    <xf numFmtId="0" fontId="0" fillId="0" borderId="1" xfId="0" quotePrefix="1" applyBorder="1" applyAlignment="1">
      <alignment horizontal="left" vertical="center" wrapText="1"/>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118" zoomScaleNormal="118" workbookViewId="0"/>
  </sheetViews>
  <sheetFormatPr defaultColWidth="8.85546875" defaultRowHeight="15" x14ac:dyDescent="0.25"/>
  <cols>
    <col min="1" max="1" width="8.85546875" style="2"/>
    <col min="2" max="2" width="5.42578125" style="47"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1" t="s">
        <v>0</v>
      </c>
      <c r="D2" s="32"/>
      <c r="E2" s="33"/>
      <c r="F2" s="34"/>
      <c r="G2" s="34"/>
      <c r="H2" s="34"/>
      <c r="I2" s="34"/>
      <c r="J2" s="34"/>
      <c r="K2" s="35"/>
    </row>
    <row r="3" spans="3:11" x14ac:dyDescent="0.25">
      <c r="C3" s="36" t="s">
        <v>2</v>
      </c>
      <c r="D3" s="6" t="s">
        <v>15</v>
      </c>
      <c r="E3" s="7">
        <v>10000000</v>
      </c>
      <c r="F3" s="12"/>
      <c r="G3" s="12"/>
      <c r="H3" s="12"/>
      <c r="I3" s="12"/>
      <c r="J3" s="12"/>
      <c r="K3" s="37"/>
    </row>
    <row r="4" spans="3:11" x14ac:dyDescent="0.25">
      <c r="C4" s="36" t="s">
        <v>1</v>
      </c>
      <c r="D4" s="6" t="s">
        <v>16</v>
      </c>
      <c r="E4" s="8">
        <v>2.5000000000000001E-2</v>
      </c>
      <c r="F4" s="12"/>
      <c r="G4" s="12"/>
      <c r="H4" s="12"/>
      <c r="I4" s="12"/>
      <c r="J4" s="12"/>
      <c r="K4" s="37"/>
    </row>
    <row r="5" spans="3:11" x14ac:dyDescent="0.25">
      <c r="C5" s="36" t="s">
        <v>38</v>
      </c>
      <c r="D5" s="6" t="s">
        <v>17</v>
      </c>
      <c r="E5" s="8">
        <v>5.0000000000000001E-3</v>
      </c>
      <c r="F5" s="12"/>
      <c r="G5" s="12"/>
      <c r="H5" s="12"/>
      <c r="I5" s="12"/>
      <c r="J5" s="12"/>
      <c r="K5" s="37"/>
    </row>
    <row r="6" spans="3:11" x14ac:dyDescent="0.25">
      <c r="C6" s="36" t="s">
        <v>56</v>
      </c>
      <c r="D6" s="6" t="s">
        <v>41</v>
      </c>
      <c r="E6" s="8">
        <v>2E-3</v>
      </c>
      <c r="F6" s="12"/>
      <c r="G6" s="12"/>
      <c r="H6" s="12"/>
      <c r="I6" s="12"/>
      <c r="J6" s="12"/>
      <c r="K6" s="37"/>
    </row>
    <row r="7" spans="3:11" ht="15.75" thickBot="1" x14ac:dyDescent="0.3">
      <c r="C7" s="36"/>
      <c r="D7" s="6"/>
      <c r="E7" s="5"/>
      <c r="F7" s="64"/>
      <c r="G7" s="30"/>
      <c r="H7" s="30"/>
      <c r="I7" s="30"/>
      <c r="J7" s="30"/>
      <c r="K7" s="67"/>
    </row>
    <row r="8" spans="3:11" ht="15.75" thickBot="1" x14ac:dyDescent="0.3">
      <c r="C8" s="77" t="s">
        <v>36</v>
      </c>
      <c r="D8" s="78"/>
      <c r="E8" s="79"/>
      <c r="F8" s="80" t="s">
        <v>12</v>
      </c>
      <c r="G8" s="81"/>
      <c r="H8" s="80" t="s">
        <v>13</v>
      </c>
      <c r="I8" s="81"/>
      <c r="J8" s="80" t="s">
        <v>14</v>
      </c>
      <c r="K8" s="81"/>
    </row>
    <row r="9" spans="3:11" x14ac:dyDescent="0.25">
      <c r="C9" s="77"/>
      <c r="D9" s="78"/>
      <c r="E9" s="78"/>
      <c r="F9" s="65" t="s">
        <v>3</v>
      </c>
      <c r="G9" s="66">
        <v>0.2</v>
      </c>
      <c r="H9" s="65" t="s">
        <v>4</v>
      </c>
      <c r="I9" s="66">
        <v>-0.2</v>
      </c>
      <c r="J9" s="65" t="s">
        <v>5</v>
      </c>
      <c r="K9" s="68">
        <v>0</v>
      </c>
    </row>
    <row r="10" spans="3:11" x14ac:dyDescent="0.25">
      <c r="C10" s="36" t="s">
        <v>11</v>
      </c>
      <c r="D10" s="6" t="s">
        <v>19</v>
      </c>
      <c r="E10" s="11" t="s">
        <v>29</v>
      </c>
      <c r="F10" s="82">
        <f>+$E$3</f>
        <v>10000000</v>
      </c>
      <c r="G10" s="82"/>
      <c r="H10" s="82">
        <f>+$E$3</f>
        <v>10000000</v>
      </c>
      <c r="I10" s="82"/>
      <c r="J10" s="82">
        <f>+$E$3</f>
        <v>10000000</v>
      </c>
      <c r="K10" s="83"/>
    </row>
    <row r="11" spans="3:11" x14ac:dyDescent="0.25">
      <c r="C11" s="36" t="s">
        <v>33</v>
      </c>
      <c r="D11" s="6" t="s">
        <v>20</v>
      </c>
      <c r="E11" s="11" t="s">
        <v>30</v>
      </c>
      <c r="F11" s="82">
        <f>F10*G9</f>
        <v>2000000</v>
      </c>
      <c r="G11" s="82"/>
      <c r="H11" s="82">
        <f>H10*I9</f>
        <v>-2000000</v>
      </c>
      <c r="I11" s="82"/>
      <c r="J11" s="84">
        <f>J10*K9</f>
        <v>0</v>
      </c>
      <c r="K11" s="85"/>
    </row>
    <row r="12" spans="3:11" x14ac:dyDescent="0.25">
      <c r="C12" s="36" t="s">
        <v>7</v>
      </c>
      <c r="D12" s="6" t="s">
        <v>21</v>
      </c>
      <c r="E12" s="11" t="s">
        <v>31</v>
      </c>
      <c r="F12" s="82">
        <f>F10+F11</f>
        <v>12000000</v>
      </c>
      <c r="G12" s="82"/>
      <c r="H12" s="82">
        <f>H10+H11</f>
        <v>8000000</v>
      </c>
      <c r="I12" s="82"/>
      <c r="J12" s="82">
        <f>J10+J11</f>
        <v>10000000</v>
      </c>
      <c r="K12" s="83"/>
    </row>
    <row r="13" spans="3:11" x14ac:dyDescent="0.25">
      <c r="C13" s="86"/>
      <c r="D13" s="87"/>
      <c r="E13" s="87"/>
      <c r="F13" s="87"/>
      <c r="G13" s="87"/>
      <c r="H13" s="87"/>
      <c r="I13" s="87"/>
      <c r="J13" s="87"/>
      <c r="K13" s="88"/>
    </row>
    <row r="14" spans="3:11" x14ac:dyDescent="0.25">
      <c r="C14" s="36" t="s">
        <v>63</v>
      </c>
      <c r="D14" s="6" t="s">
        <v>22</v>
      </c>
      <c r="E14" s="11" t="s">
        <v>32</v>
      </c>
      <c r="F14" s="89">
        <f>(F10+F12)/2</f>
        <v>11000000</v>
      </c>
      <c r="G14" s="89"/>
      <c r="H14" s="89">
        <f>(H10+H12)/2</f>
        <v>9000000</v>
      </c>
      <c r="I14" s="89"/>
      <c r="J14" s="89">
        <f>(J10+J12)/2</f>
        <v>10000000</v>
      </c>
      <c r="K14" s="90"/>
    </row>
    <row r="15" spans="3:11" x14ac:dyDescent="0.25">
      <c r="C15" s="86"/>
      <c r="D15" s="87"/>
      <c r="E15" s="87"/>
      <c r="F15" s="87"/>
      <c r="G15" s="87"/>
      <c r="H15" s="87"/>
      <c r="I15" s="87"/>
      <c r="J15" s="87"/>
      <c r="K15" s="88"/>
    </row>
    <row r="16" spans="3:11" x14ac:dyDescent="0.25">
      <c r="C16" s="36" t="s">
        <v>34</v>
      </c>
      <c r="D16" s="6" t="s">
        <v>23</v>
      </c>
      <c r="E16" s="11" t="s">
        <v>55</v>
      </c>
      <c r="F16" s="82">
        <f>+F14*-$E$5</f>
        <v>-55000</v>
      </c>
      <c r="G16" s="82"/>
      <c r="H16" s="82">
        <f>+H14*-$E$5</f>
        <v>-45000</v>
      </c>
      <c r="I16" s="82"/>
      <c r="J16" s="82">
        <f>+J14*-$E$5</f>
        <v>-50000</v>
      </c>
      <c r="K16" s="83"/>
    </row>
    <row r="17" spans="2:11" x14ac:dyDescent="0.25">
      <c r="C17" s="36" t="s">
        <v>56</v>
      </c>
      <c r="D17" s="6" t="s">
        <v>24</v>
      </c>
      <c r="E17" s="11" t="s">
        <v>57</v>
      </c>
      <c r="F17" s="82">
        <f>+F14*-$E$6</f>
        <v>-22000</v>
      </c>
      <c r="G17" s="82"/>
      <c r="H17" s="82">
        <f>+H14*-$E$6</f>
        <v>-18000</v>
      </c>
      <c r="I17" s="82"/>
      <c r="J17" s="82">
        <f>+J14*-$E$6</f>
        <v>-20000</v>
      </c>
      <c r="K17" s="83"/>
    </row>
    <row r="18" spans="2:11" x14ac:dyDescent="0.25">
      <c r="C18" s="36" t="s">
        <v>35</v>
      </c>
      <c r="D18" s="6" t="s">
        <v>25</v>
      </c>
      <c r="E18" s="5" t="s">
        <v>58</v>
      </c>
      <c r="F18" s="82">
        <f>+(F14+F16+F17)*-$E$4</f>
        <v>-273075</v>
      </c>
      <c r="G18" s="82"/>
      <c r="H18" s="82">
        <f>+(H14+H16+H17)*-$E$4</f>
        <v>-223425</v>
      </c>
      <c r="I18" s="82"/>
      <c r="J18" s="82">
        <f>+(J14+J16+J17)*-$E$4</f>
        <v>-248250</v>
      </c>
      <c r="K18" s="83"/>
    </row>
    <row r="19" spans="2:11" x14ac:dyDescent="0.25">
      <c r="C19" s="36" t="s">
        <v>8</v>
      </c>
      <c r="D19" s="6" t="s">
        <v>26</v>
      </c>
      <c r="E19" s="5" t="s">
        <v>59</v>
      </c>
      <c r="F19" s="82">
        <f>+F16+F18+F17</f>
        <v>-350075</v>
      </c>
      <c r="G19" s="82"/>
      <c r="H19" s="82">
        <f>+H16+H18+H17</f>
        <v>-286425</v>
      </c>
      <c r="I19" s="82"/>
      <c r="J19" s="82">
        <f>+J16+J18+J17</f>
        <v>-318250</v>
      </c>
      <c r="K19" s="83"/>
    </row>
    <row r="20" spans="2:11" x14ac:dyDescent="0.25">
      <c r="C20" s="86"/>
      <c r="D20" s="87"/>
      <c r="E20" s="87"/>
      <c r="F20" s="87"/>
      <c r="G20" s="87"/>
      <c r="H20" s="87"/>
      <c r="I20" s="87"/>
      <c r="J20" s="87"/>
      <c r="K20" s="88"/>
    </row>
    <row r="21" spans="2:11" x14ac:dyDescent="0.25">
      <c r="C21" s="36" t="s">
        <v>9</v>
      </c>
      <c r="D21" s="6" t="s">
        <v>27</v>
      </c>
      <c r="E21" s="5" t="s">
        <v>67</v>
      </c>
      <c r="F21" s="82">
        <f>F12+F19</f>
        <v>11649925</v>
      </c>
      <c r="G21" s="82"/>
      <c r="H21" s="82">
        <f>H12+H19</f>
        <v>7713575</v>
      </c>
      <c r="I21" s="82"/>
      <c r="J21" s="82">
        <f>J12+J19</f>
        <v>9681750</v>
      </c>
      <c r="K21" s="83"/>
    </row>
    <row r="22" spans="2:11" x14ac:dyDescent="0.25">
      <c r="C22" s="36" t="s">
        <v>10</v>
      </c>
      <c r="D22" s="6" t="s">
        <v>28</v>
      </c>
      <c r="E22" s="5" t="s">
        <v>68</v>
      </c>
      <c r="F22" s="91">
        <f>+F21/F10-1</f>
        <v>0.1649925000000001</v>
      </c>
      <c r="G22" s="91"/>
      <c r="H22" s="91">
        <f>+H21/H10-1</f>
        <v>-0.22864249999999997</v>
      </c>
      <c r="I22" s="91"/>
      <c r="J22" s="91">
        <f>+J21/J10-1</f>
        <v>-3.1824999999999992E-2</v>
      </c>
      <c r="K22" s="92"/>
    </row>
    <row r="23" spans="2:11" x14ac:dyDescent="0.25">
      <c r="C23" s="36"/>
      <c r="D23" s="6"/>
      <c r="E23" s="5"/>
      <c r="F23" s="12"/>
      <c r="G23" s="12"/>
      <c r="H23" s="12"/>
      <c r="I23" s="12"/>
      <c r="J23" s="12"/>
      <c r="K23" s="37"/>
    </row>
    <row r="24" spans="2:11" ht="15.75" thickBot="1" x14ac:dyDescent="0.3">
      <c r="B24" s="50"/>
      <c r="C24" s="96" t="s">
        <v>88</v>
      </c>
      <c r="D24" s="97"/>
      <c r="E24" s="97"/>
      <c r="F24" s="97"/>
      <c r="G24" s="97"/>
      <c r="H24" s="97"/>
      <c r="I24" s="97"/>
      <c r="J24" s="97"/>
      <c r="K24" s="98"/>
    </row>
    <row r="25" spans="2:11" s="4" customFormat="1" ht="44.25" customHeight="1" thickBot="1" x14ac:dyDescent="0.3">
      <c r="B25" s="51">
        <v>1</v>
      </c>
      <c r="C25" s="93" t="s">
        <v>112</v>
      </c>
      <c r="D25" s="94"/>
      <c r="E25" s="94"/>
      <c r="F25" s="94"/>
      <c r="G25" s="94"/>
      <c r="H25" s="94"/>
      <c r="I25" s="94"/>
      <c r="J25" s="94"/>
      <c r="K25" s="95"/>
    </row>
    <row r="26" spans="2:11" s="4" customFormat="1" ht="42" customHeight="1" thickBot="1" x14ac:dyDescent="0.3">
      <c r="B26" s="51">
        <f t="shared" ref="B26:B30" si="0">+B25+1</f>
        <v>2</v>
      </c>
      <c r="C26" s="93" t="s">
        <v>61</v>
      </c>
      <c r="D26" s="94"/>
      <c r="E26" s="94"/>
      <c r="F26" s="94"/>
      <c r="G26" s="94"/>
      <c r="H26" s="94"/>
      <c r="I26" s="94"/>
      <c r="J26" s="94"/>
      <c r="K26" s="95"/>
    </row>
    <row r="27" spans="2:11" s="4" customFormat="1" ht="33.75" customHeight="1" thickBot="1" x14ac:dyDescent="0.3">
      <c r="B27" s="51">
        <f t="shared" si="0"/>
        <v>3</v>
      </c>
      <c r="C27" s="93" t="s">
        <v>60</v>
      </c>
      <c r="D27" s="94"/>
      <c r="E27" s="94"/>
      <c r="F27" s="94"/>
      <c r="G27" s="94"/>
      <c r="H27" s="94"/>
      <c r="I27" s="94"/>
      <c r="J27" s="94"/>
      <c r="K27" s="95"/>
    </row>
    <row r="28" spans="2:11" s="4" customFormat="1" ht="29.25" customHeight="1" thickBot="1" x14ac:dyDescent="0.3">
      <c r="B28" s="51">
        <f t="shared" si="0"/>
        <v>4</v>
      </c>
      <c r="C28" s="99" t="s">
        <v>37</v>
      </c>
      <c r="D28" s="100"/>
      <c r="E28" s="100"/>
      <c r="F28" s="100"/>
      <c r="G28" s="100"/>
      <c r="H28" s="100"/>
      <c r="I28" s="100"/>
      <c r="J28" s="100"/>
      <c r="K28" s="101"/>
    </row>
    <row r="29" spans="2:11" s="4" customFormat="1" ht="33.75" customHeight="1" thickBot="1" x14ac:dyDescent="0.3">
      <c r="B29" s="51">
        <f t="shared" si="0"/>
        <v>5</v>
      </c>
      <c r="C29" s="93" t="s">
        <v>62</v>
      </c>
      <c r="D29" s="94"/>
      <c r="E29" s="94"/>
      <c r="F29" s="94"/>
      <c r="G29" s="94"/>
      <c r="H29" s="94"/>
      <c r="I29" s="94"/>
      <c r="J29" s="94"/>
      <c r="K29" s="95"/>
    </row>
    <row r="30" spans="2:11" s="4" customFormat="1" ht="15.75" thickBot="1" x14ac:dyDescent="0.3">
      <c r="B30" s="51">
        <f t="shared" si="0"/>
        <v>6</v>
      </c>
      <c r="C30" s="93" t="s">
        <v>51</v>
      </c>
      <c r="D30" s="94"/>
      <c r="E30" s="94"/>
      <c r="F30" s="94"/>
      <c r="G30" s="94"/>
      <c r="H30" s="94"/>
      <c r="I30" s="94"/>
      <c r="J30" s="94"/>
      <c r="K30" s="95"/>
    </row>
    <row r="31" spans="2:11" s="4" customFormat="1" ht="34.5" customHeight="1" thickBot="1" x14ac:dyDescent="0.3">
      <c r="B31" s="51">
        <f t="shared" ref="B31" si="1">+B30+1</f>
        <v>7</v>
      </c>
      <c r="C31" s="93" t="s">
        <v>64</v>
      </c>
      <c r="D31" s="94"/>
      <c r="E31" s="94"/>
      <c r="F31" s="94"/>
      <c r="G31" s="94"/>
      <c r="H31" s="94"/>
      <c r="I31" s="94"/>
      <c r="J31" s="94"/>
      <c r="K31" s="95"/>
    </row>
    <row r="32" spans="2:11" ht="28.5" customHeight="1" thickBot="1" x14ac:dyDescent="0.3">
      <c r="B32" s="51">
        <v>8</v>
      </c>
      <c r="C32" s="93" t="s">
        <v>100</v>
      </c>
      <c r="D32" s="94"/>
      <c r="E32" s="94"/>
      <c r="F32" s="94"/>
      <c r="G32" s="94"/>
      <c r="H32" s="94"/>
      <c r="I32" s="94"/>
      <c r="J32" s="94"/>
      <c r="K32" s="95"/>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zoomScaleNormal="100" workbookViewId="0"/>
  </sheetViews>
  <sheetFormatPr defaultColWidth="8.85546875" defaultRowHeight="15" x14ac:dyDescent="0.25"/>
  <cols>
    <col min="1" max="1" width="8.85546875" style="2"/>
    <col min="2" max="2" width="5.42578125" style="47"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34"/>
      <c r="G2" s="34"/>
      <c r="H2" s="34"/>
      <c r="I2" s="34"/>
      <c r="J2" s="34"/>
      <c r="K2" s="34"/>
      <c r="L2" s="34"/>
      <c r="M2" s="35"/>
    </row>
    <row r="3" spans="3:13" x14ac:dyDescent="0.25">
      <c r="C3" s="36" t="s">
        <v>2</v>
      </c>
      <c r="D3" s="6" t="s">
        <v>15</v>
      </c>
      <c r="E3" s="7">
        <v>10000000</v>
      </c>
      <c r="F3" s="12"/>
      <c r="G3" s="12"/>
      <c r="H3" s="12"/>
      <c r="I3" s="12"/>
      <c r="J3" s="12"/>
      <c r="K3" s="12"/>
      <c r="L3" s="12"/>
      <c r="M3" s="37"/>
    </row>
    <row r="4" spans="3:13" x14ac:dyDescent="0.25">
      <c r="C4" s="36" t="s">
        <v>1</v>
      </c>
      <c r="D4" s="6" t="s">
        <v>16</v>
      </c>
      <c r="E4" s="8">
        <v>1.4999999999999999E-2</v>
      </c>
      <c r="F4" s="12"/>
      <c r="G4" s="12"/>
      <c r="H4" s="12"/>
      <c r="I4" s="12"/>
      <c r="J4" s="12"/>
      <c r="K4" s="12"/>
      <c r="L4" s="12"/>
      <c r="M4" s="37"/>
    </row>
    <row r="5" spans="3:13" x14ac:dyDescent="0.25">
      <c r="C5" s="36" t="s">
        <v>6</v>
      </c>
      <c r="D5" s="6" t="s">
        <v>17</v>
      </c>
      <c r="E5" s="8">
        <v>5.0000000000000001E-3</v>
      </c>
      <c r="F5" s="12"/>
      <c r="G5" s="12"/>
      <c r="H5" s="12"/>
      <c r="I5" s="12"/>
      <c r="J5" s="12"/>
      <c r="K5" s="12"/>
      <c r="L5" s="12"/>
      <c r="M5" s="37"/>
    </row>
    <row r="6" spans="3:13" x14ac:dyDescent="0.25">
      <c r="C6" s="36" t="s">
        <v>39</v>
      </c>
      <c r="D6" s="6" t="s">
        <v>41</v>
      </c>
      <c r="E6" s="8">
        <v>0.15</v>
      </c>
      <c r="F6" s="12"/>
      <c r="G6" s="12"/>
      <c r="H6" s="12"/>
      <c r="I6" s="12"/>
      <c r="J6" s="12"/>
      <c r="K6" s="12"/>
      <c r="L6" s="12"/>
      <c r="M6" s="37"/>
    </row>
    <row r="7" spans="3:13" x14ac:dyDescent="0.25">
      <c r="C7" s="36" t="s">
        <v>40</v>
      </c>
      <c r="D7" s="6" t="s">
        <v>42</v>
      </c>
      <c r="E7" s="8">
        <v>0.1</v>
      </c>
      <c r="F7" s="12"/>
      <c r="G7" s="12"/>
      <c r="H7" s="12"/>
      <c r="I7" s="12"/>
      <c r="J7" s="12"/>
      <c r="K7" s="12"/>
      <c r="L7" s="12"/>
      <c r="M7" s="37"/>
    </row>
    <row r="8" spans="3:13" x14ac:dyDescent="0.25">
      <c r="C8" s="36" t="s">
        <v>56</v>
      </c>
      <c r="D8" s="6" t="s">
        <v>65</v>
      </c>
      <c r="E8" s="8">
        <v>2E-3</v>
      </c>
      <c r="F8" s="12"/>
      <c r="G8" s="12"/>
      <c r="H8" s="12"/>
      <c r="I8" s="12"/>
      <c r="J8" s="12"/>
      <c r="K8" s="12"/>
      <c r="L8" s="12"/>
      <c r="M8" s="37"/>
    </row>
    <row r="9" spans="3:13" ht="15.75" thickBot="1" x14ac:dyDescent="0.3">
      <c r="C9" s="36"/>
      <c r="D9" s="6"/>
      <c r="E9" s="5"/>
      <c r="F9" s="64"/>
      <c r="G9" s="30"/>
      <c r="H9" s="12"/>
      <c r="I9" s="12"/>
      <c r="J9" s="12"/>
      <c r="K9" s="12"/>
      <c r="L9" s="12"/>
      <c r="M9" s="37"/>
    </row>
    <row r="10" spans="3:13" ht="15.75" thickBot="1" x14ac:dyDescent="0.3">
      <c r="C10" s="77" t="s">
        <v>79</v>
      </c>
      <c r="D10" s="78"/>
      <c r="E10" s="79"/>
      <c r="F10" s="102" t="s">
        <v>12</v>
      </c>
      <c r="G10" s="103"/>
      <c r="H10" s="102" t="s">
        <v>13</v>
      </c>
      <c r="I10" s="103"/>
      <c r="J10" s="102" t="s">
        <v>14</v>
      </c>
      <c r="K10" s="103"/>
      <c r="L10" s="12"/>
      <c r="M10" s="37"/>
    </row>
    <row r="11" spans="3:13" x14ac:dyDescent="0.25">
      <c r="C11" s="77"/>
      <c r="D11" s="78"/>
      <c r="E11" s="78"/>
      <c r="F11" s="65" t="s">
        <v>3</v>
      </c>
      <c r="G11" s="66">
        <v>0.2</v>
      </c>
      <c r="H11" s="9" t="s">
        <v>4</v>
      </c>
      <c r="I11" s="10">
        <v>-0.2</v>
      </c>
      <c r="J11" s="9" t="s">
        <v>5</v>
      </c>
      <c r="K11" s="10">
        <v>0</v>
      </c>
      <c r="L11" s="12"/>
      <c r="M11" s="37"/>
    </row>
    <row r="12" spans="3:13" x14ac:dyDescent="0.25">
      <c r="C12" s="36" t="s">
        <v>11</v>
      </c>
      <c r="D12" s="6" t="s">
        <v>19</v>
      </c>
      <c r="E12" s="11" t="s">
        <v>29</v>
      </c>
      <c r="F12" s="82">
        <f>+$E$3</f>
        <v>10000000</v>
      </c>
      <c r="G12" s="82"/>
      <c r="H12" s="82">
        <f>+$E$3</f>
        <v>10000000</v>
      </c>
      <c r="I12" s="82"/>
      <c r="J12" s="82">
        <f>+$E$3</f>
        <v>10000000</v>
      </c>
      <c r="K12" s="82"/>
      <c r="L12" s="12"/>
      <c r="M12" s="37"/>
    </row>
    <row r="13" spans="3:13" x14ac:dyDescent="0.25">
      <c r="C13" s="36" t="s">
        <v>33</v>
      </c>
      <c r="D13" s="6" t="s">
        <v>20</v>
      </c>
      <c r="E13" s="11" t="s">
        <v>30</v>
      </c>
      <c r="F13" s="82">
        <f>F12*G11</f>
        <v>2000000</v>
      </c>
      <c r="G13" s="82"/>
      <c r="H13" s="82">
        <f>H12*I11</f>
        <v>-2000000</v>
      </c>
      <c r="I13" s="82"/>
      <c r="J13" s="84">
        <f>J12*K11</f>
        <v>0</v>
      </c>
      <c r="K13" s="84"/>
      <c r="L13" s="12"/>
      <c r="M13" s="37"/>
    </row>
    <row r="14" spans="3:13" x14ac:dyDescent="0.25">
      <c r="C14" s="36" t="s">
        <v>7</v>
      </c>
      <c r="D14" s="6" t="s">
        <v>21</v>
      </c>
      <c r="E14" s="11" t="s">
        <v>31</v>
      </c>
      <c r="F14" s="82">
        <f>F12+F13</f>
        <v>12000000</v>
      </c>
      <c r="G14" s="82"/>
      <c r="H14" s="82">
        <f>H12+H13</f>
        <v>8000000</v>
      </c>
      <c r="I14" s="82"/>
      <c r="J14" s="82">
        <f>J12+J13</f>
        <v>10000000</v>
      </c>
      <c r="K14" s="82"/>
      <c r="L14" s="12"/>
      <c r="M14" s="37"/>
    </row>
    <row r="15" spans="3:13" x14ac:dyDescent="0.25">
      <c r="C15" s="86"/>
      <c r="D15" s="87"/>
      <c r="E15" s="87"/>
      <c r="F15" s="87"/>
      <c r="G15" s="87"/>
      <c r="H15" s="87"/>
      <c r="I15" s="87"/>
      <c r="J15" s="87"/>
      <c r="K15" s="87"/>
      <c r="L15" s="12"/>
      <c r="M15" s="37"/>
    </row>
    <row r="16" spans="3:13" x14ac:dyDescent="0.25">
      <c r="C16" s="36" t="s">
        <v>18</v>
      </c>
      <c r="D16" s="6" t="s">
        <v>22</v>
      </c>
      <c r="E16" s="11" t="s">
        <v>32</v>
      </c>
      <c r="F16" s="89">
        <f>(F12+F14)/2</f>
        <v>11000000</v>
      </c>
      <c r="G16" s="89"/>
      <c r="H16" s="89">
        <f>(H12+H14)/2</f>
        <v>9000000</v>
      </c>
      <c r="I16" s="89"/>
      <c r="J16" s="89">
        <f>(J12+J14)/2</f>
        <v>10000000</v>
      </c>
      <c r="K16" s="89"/>
      <c r="L16" s="12"/>
      <c r="M16" s="37"/>
    </row>
    <row r="17" spans="3:13" x14ac:dyDescent="0.25">
      <c r="C17" s="86"/>
      <c r="D17" s="87"/>
      <c r="E17" s="87"/>
      <c r="F17" s="87"/>
      <c r="G17" s="87"/>
      <c r="H17" s="87"/>
      <c r="I17" s="87"/>
      <c r="J17" s="87"/>
      <c r="K17" s="87"/>
      <c r="L17" s="12"/>
      <c r="M17" s="37"/>
    </row>
    <row r="18" spans="3:13" x14ac:dyDescent="0.25">
      <c r="C18" s="36" t="s">
        <v>34</v>
      </c>
      <c r="D18" s="6" t="s">
        <v>23</v>
      </c>
      <c r="E18" s="11" t="s">
        <v>55</v>
      </c>
      <c r="F18" s="82">
        <f>+F16*-$E$5</f>
        <v>-55000</v>
      </c>
      <c r="G18" s="82"/>
      <c r="H18" s="82">
        <f>+H16*-$E$5</f>
        <v>-45000</v>
      </c>
      <c r="I18" s="82"/>
      <c r="J18" s="82">
        <f>+J16*-$E$5</f>
        <v>-50000</v>
      </c>
      <c r="K18" s="82"/>
      <c r="L18" s="12"/>
      <c r="M18" s="37"/>
    </row>
    <row r="19" spans="3:13" x14ac:dyDescent="0.25">
      <c r="C19" s="36" t="s">
        <v>56</v>
      </c>
      <c r="D19" s="6" t="s">
        <v>24</v>
      </c>
      <c r="E19" s="11" t="s">
        <v>66</v>
      </c>
      <c r="F19" s="82">
        <f>+F16*-$E$8</f>
        <v>-22000</v>
      </c>
      <c r="G19" s="82"/>
      <c r="H19" s="82">
        <f>+H16*-$E$8</f>
        <v>-18000</v>
      </c>
      <c r="I19" s="82"/>
      <c r="J19" s="82">
        <f>+J16*-$E$8</f>
        <v>-20000</v>
      </c>
      <c r="K19" s="82"/>
      <c r="L19" s="12"/>
      <c r="M19" s="37"/>
    </row>
    <row r="20" spans="3:13" x14ac:dyDescent="0.25">
      <c r="C20" s="36" t="s">
        <v>35</v>
      </c>
      <c r="D20" s="6" t="s">
        <v>25</v>
      </c>
      <c r="E20" s="5" t="s">
        <v>58</v>
      </c>
      <c r="F20" s="82">
        <f>+(F16+F18+F19)*-$E$4</f>
        <v>-163845</v>
      </c>
      <c r="G20" s="82"/>
      <c r="H20" s="82">
        <f>+(H16+H18+H19)*-$E$4</f>
        <v>-134055</v>
      </c>
      <c r="I20" s="82"/>
      <c r="J20" s="82">
        <f>+(J16+J18+J19)*-$E$4</f>
        <v>-148950</v>
      </c>
      <c r="K20" s="82"/>
      <c r="L20" s="12"/>
      <c r="M20" s="37"/>
    </row>
    <row r="21" spans="3:13" x14ac:dyDescent="0.25">
      <c r="C21" s="36" t="s">
        <v>69</v>
      </c>
      <c r="D21" s="6" t="s">
        <v>26</v>
      </c>
      <c r="E21" s="5" t="s">
        <v>59</v>
      </c>
      <c r="F21" s="82">
        <f>+F18+F20+F19</f>
        <v>-240845</v>
      </c>
      <c r="G21" s="82"/>
      <c r="H21" s="82">
        <f>+H18+H20+H19</f>
        <v>-197055</v>
      </c>
      <c r="I21" s="82"/>
      <c r="J21" s="82">
        <f>+J18+J20+J19</f>
        <v>-218950</v>
      </c>
      <c r="K21" s="82"/>
      <c r="L21" s="12"/>
      <c r="M21" s="37"/>
    </row>
    <row r="22" spans="3:13" x14ac:dyDescent="0.25">
      <c r="C22" s="86"/>
      <c r="D22" s="87"/>
      <c r="E22" s="87"/>
      <c r="F22" s="87"/>
      <c r="G22" s="87"/>
      <c r="H22" s="87"/>
      <c r="I22" s="87"/>
      <c r="J22" s="87"/>
      <c r="K22" s="87"/>
      <c r="L22" s="12"/>
      <c r="M22" s="37"/>
    </row>
    <row r="23" spans="3:13" x14ac:dyDescent="0.25">
      <c r="C23" s="36" t="s">
        <v>43</v>
      </c>
      <c r="D23" s="6" t="s">
        <v>27</v>
      </c>
      <c r="E23" s="5" t="s">
        <v>67</v>
      </c>
      <c r="F23" s="82">
        <f>F14+F21</f>
        <v>11759155</v>
      </c>
      <c r="G23" s="82"/>
      <c r="H23" s="82">
        <f>H14+H21</f>
        <v>7802945</v>
      </c>
      <c r="I23" s="82"/>
      <c r="J23" s="82">
        <f>J14+J21</f>
        <v>9781050</v>
      </c>
      <c r="K23" s="82"/>
      <c r="L23" s="12"/>
      <c r="M23" s="37"/>
    </row>
    <row r="24" spans="3:13" ht="45" x14ac:dyDescent="0.25">
      <c r="C24" s="36" t="s">
        <v>71</v>
      </c>
      <c r="D24" s="6" t="s">
        <v>28</v>
      </c>
      <c r="E24" s="5"/>
      <c r="F24" s="82">
        <f>F12</f>
        <v>10000000</v>
      </c>
      <c r="G24" s="82"/>
      <c r="H24" s="82">
        <f>H12</f>
        <v>10000000</v>
      </c>
      <c r="I24" s="82"/>
      <c r="J24" s="82">
        <f>J12</f>
        <v>10000000</v>
      </c>
      <c r="K24" s="82"/>
      <c r="L24" s="12"/>
      <c r="M24" s="37"/>
    </row>
    <row r="25" spans="3:13" x14ac:dyDescent="0.25">
      <c r="C25" s="39" t="s">
        <v>72</v>
      </c>
      <c r="D25" s="6" t="s">
        <v>45</v>
      </c>
      <c r="E25" s="13" t="s">
        <v>70</v>
      </c>
      <c r="F25" s="82">
        <f>(F24*$E$7)</f>
        <v>1000000</v>
      </c>
      <c r="G25" s="82"/>
      <c r="H25" s="82">
        <f>(H24*$E$7)</f>
        <v>1000000</v>
      </c>
      <c r="I25" s="82"/>
      <c r="J25" s="82">
        <f>(J24*$E$7)</f>
        <v>1000000</v>
      </c>
      <c r="K25" s="82"/>
      <c r="L25" s="12"/>
      <c r="M25" s="37"/>
    </row>
    <row r="26" spans="3:13" ht="45" x14ac:dyDescent="0.25">
      <c r="C26" s="36" t="s">
        <v>73</v>
      </c>
      <c r="D26" s="6" t="s">
        <v>46</v>
      </c>
      <c r="E26" s="5" t="s">
        <v>74</v>
      </c>
      <c r="F26" s="82" t="str">
        <f>IF(F23&gt;(F24+F25),("Yes"),("No Pfee"))</f>
        <v>Yes</v>
      </c>
      <c r="G26" s="82"/>
      <c r="H26" s="82" t="str">
        <f>IF(H23&gt;(H24+H25),("Yes"),("No Pfee"))</f>
        <v>No Pfee</v>
      </c>
      <c r="I26" s="82"/>
      <c r="J26" s="82" t="str">
        <f>IF(J23&gt;(J24+J25),("Yes"),("No Pfee"))</f>
        <v>No Pfee</v>
      </c>
      <c r="K26" s="82"/>
      <c r="L26" s="12"/>
      <c r="M26" s="37"/>
    </row>
    <row r="27" spans="3:13" x14ac:dyDescent="0.25">
      <c r="C27" s="104" t="s">
        <v>44</v>
      </c>
      <c r="D27" s="105"/>
      <c r="E27" s="105"/>
      <c r="F27" s="105"/>
      <c r="G27" s="105"/>
      <c r="H27" s="105"/>
      <c r="I27" s="105"/>
      <c r="J27" s="105"/>
      <c r="K27" s="105"/>
      <c r="L27" s="12"/>
      <c r="M27" s="37"/>
    </row>
    <row r="28" spans="3:13" x14ac:dyDescent="0.25">
      <c r="C28" s="36" t="s">
        <v>53</v>
      </c>
      <c r="D28" s="6" t="s">
        <v>47</v>
      </c>
      <c r="E28" s="5" t="s">
        <v>75</v>
      </c>
      <c r="F28" s="82">
        <f>+IF(F26="Yes",(F23-F24-F25),(0))</f>
        <v>759155</v>
      </c>
      <c r="G28" s="82"/>
      <c r="H28" s="82">
        <f>+IF(H26="Yes",(H23-H24-H25),(0))</f>
        <v>0</v>
      </c>
      <c r="I28" s="82"/>
      <c r="J28" s="82">
        <f>+IF(J26="Yes",(J23-J24-J25),(0))</f>
        <v>0</v>
      </c>
      <c r="K28" s="82"/>
      <c r="L28" s="12"/>
      <c r="M28" s="37"/>
    </row>
    <row r="29" spans="3:13" x14ac:dyDescent="0.25">
      <c r="C29" s="39" t="s">
        <v>48</v>
      </c>
      <c r="D29" s="6" t="s">
        <v>49</v>
      </c>
      <c r="E29" s="13" t="s">
        <v>76</v>
      </c>
      <c r="F29" s="82">
        <f>+F28*-$E$6</f>
        <v>-113873.25</v>
      </c>
      <c r="G29" s="82"/>
      <c r="H29" s="82">
        <f>+H28*-$E$6</f>
        <v>0</v>
      </c>
      <c r="I29" s="82"/>
      <c r="J29" s="82">
        <f>+J28*-$E$6</f>
        <v>0</v>
      </c>
      <c r="K29" s="82"/>
      <c r="L29" s="12"/>
      <c r="M29" s="37"/>
    </row>
    <row r="30" spans="3:13" x14ac:dyDescent="0.25">
      <c r="C30" s="38"/>
      <c r="D30" s="6"/>
      <c r="E30" s="6"/>
      <c r="F30" s="6"/>
      <c r="G30" s="6"/>
      <c r="H30" s="6"/>
      <c r="I30" s="6"/>
      <c r="J30" s="6"/>
      <c r="K30" s="6"/>
      <c r="L30" s="12"/>
      <c r="M30" s="37"/>
    </row>
    <row r="31" spans="3:13" ht="30" x14ac:dyDescent="0.25">
      <c r="C31" s="36" t="s">
        <v>54</v>
      </c>
      <c r="D31" s="6" t="s">
        <v>50</v>
      </c>
      <c r="E31" s="5" t="s">
        <v>77</v>
      </c>
      <c r="F31" s="82">
        <f>+F23+F29</f>
        <v>11645281.75</v>
      </c>
      <c r="G31" s="82"/>
      <c r="H31" s="82">
        <f>+H23+H29</f>
        <v>7802945</v>
      </c>
      <c r="I31" s="82"/>
      <c r="J31" s="82">
        <f>+J23+J29</f>
        <v>9781050</v>
      </c>
      <c r="K31" s="82"/>
      <c r="L31" s="12"/>
      <c r="M31" s="37"/>
    </row>
    <row r="32" spans="3:13" x14ac:dyDescent="0.25">
      <c r="C32" s="36" t="s">
        <v>10</v>
      </c>
      <c r="D32" s="6" t="s">
        <v>52</v>
      </c>
      <c r="E32" s="5" t="s">
        <v>78</v>
      </c>
      <c r="F32" s="91">
        <f>+F31/F12-1</f>
        <v>0.16452817500000005</v>
      </c>
      <c r="G32" s="91"/>
      <c r="H32" s="91">
        <f>+H31/H12-1</f>
        <v>-0.2197055</v>
      </c>
      <c r="I32" s="91"/>
      <c r="J32" s="91">
        <f>+J31/J12-1</f>
        <v>-2.1894999999999998E-2</v>
      </c>
      <c r="K32" s="91"/>
      <c r="L32" s="12"/>
      <c r="M32" s="37"/>
    </row>
    <row r="33" spans="2:13" x14ac:dyDescent="0.25">
      <c r="C33" s="38"/>
      <c r="D33" s="6"/>
      <c r="E33" s="6"/>
      <c r="F33" s="6"/>
      <c r="G33" s="6"/>
      <c r="H33" s="6"/>
      <c r="I33" s="6"/>
      <c r="J33" s="6"/>
      <c r="K33" s="6"/>
      <c r="L33" s="12"/>
      <c r="M33" s="37"/>
    </row>
    <row r="34" spans="2:13" ht="30" x14ac:dyDescent="0.25">
      <c r="C34" s="36" t="s">
        <v>106</v>
      </c>
      <c r="D34" s="6" t="s">
        <v>80</v>
      </c>
      <c r="E34" s="5" t="s">
        <v>87</v>
      </c>
      <c r="F34" s="82">
        <f>+MAX(F24,F31)</f>
        <v>11645281.75</v>
      </c>
      <c r="G34" s="82"/>
      <c r="H34" s="82">
        <f>+MAX(H24,H31)</f>
        <v>10000000</v>
      </c>
      <c r="I34" s="82"/>
      <c r="J34" s="82">
        <f>+MAX(J24,J31)</f>
        <v>10000000</v>
      </c>
      <c r="K34" s="82"/>
      <c r="L34" s="12"/>
      <c r="M34" s="37"/>
    </row>
    <row r="35" spans="2:13" ht="45" x14ac:dyDescent="0.25">
      <c r="C35" s="36" t="s">
        <v>107</v>
      </c>
      <c r="D35" s="6" t="s">
        <v>80</v>
      </c>
      <c r="E35" s="5" t="s">
        <v>86</v>
      </c>
      <c r="F35" s="82">
        <f>+MAX(F23,F24)</f>
        <v>11759155</v>
      </c>
      <c r="G35" s="82"/>
      <c r="H35" s="82">
        <f>+MAX(H23,H24)</f>
        <v>10000000</v>
      </c>
      <c r="I35" s="82"/>
      <c r="J35" s="82">
        <f>+MAX(J23,J24)</f>
        <v>10000000</v>
      </c>
      <c r="K35" s="82"/>
      <c r="L35" s="12"/>
      <c r="M35" s="37"/>
    </row>
    <row r="36" spans="2:13" x14ac:dyDescent="0.25">
      <c r="C36" s="36"/>
      <c r="D36" s="6"/>
      <c r="E36" s="5"/>
      <c r="F36" s="12"/>
      <c r="G36" s="12"/>
      <c r="H36" s="12"/>
      <c r="I36" s="12"/>
      <c r="J36" s="12"/>
      <c r="K36" s="12"/>
      <c r="L36" s="12"/>
      <c r="M36" s="37"/>
    </row>
    <row r="37" spans="2:13" ht="15.75" thickBot="1" x14ac:dyDescent="0.3">
      <c r="B37" s="48"/>
      <c r="C37" s="60" t="s">
        <v>88</v>
      </c>
      <c r="D37" s="61"/>
      <c r="E37" s="62"/>
      <c r="F37" s="62"/>
      <c r="G37" s="62"/>
      <c r="H37" s="62"/>
      <c r="I37" s="62"/>
      <c r="J37" s="62"/>
      <c r="K37" s="62"/>
      <c r="L37" s="62"/>
      <c r="M37" s="63"/>
    </row>
    <row r="38" spans="2:13" ht="34.5" customHeight="1" thickBot="1" x14ac:dyDescent="0.3">
      <c r="B38" s="49">
        <v>1</v>
      </c>
      <c r="C38" s="93" t="s">
        <v>112</v>
      </c>
      <c r="D38" s="94"/>
      <c r="E38" s="94"/>
      <c r="F38" s="94"/>
      <c r="G38" s="94"/>
      <c r="H38" s="94"/>
      <c r="I38" s="94"/>
      <c r="J38" s="94"/>
      <c r="K38" s="94"/>
      <c r="L38" s="94"/>
      <c r="M38" s="95"/>
    </row>
    <row r="39" spans="2:13" ht="33.75" customHeight="1" thickBot="1" x14ac:dyDescent="0.3">
      <c r="B39" s="49">
        <f t="shared" ref="B39:B48" si="0">+B38+1</f>
        <v>2</v>
      </c>
      <c r="C39" s="93" t="s">
        <v>61</v>
      </c>
      <c r="D39" s="94"/>
      <c r="E39" s="94"/>
      <c r="F39" s="94"/>
      <c r="G39" s="94"/>
      <c r="H39" s="94"/>
      <c r="I39" s="94"/>
      <c r="J39" s="94"/>
      <c r="K39" s="94"/>
      <c r="L39" s="94"/>
      <c r="M39" s="95"/>
    </row>
    <row r="40" spans="2:13" ht="13.5" customHeight="1" thickBot="1" x14ac:dyDescent="0.3">
      <c r="B40" s="49">
        <f t="shared" si="0"/>
        <v>3</v>
      </c>
      <c r="C40" s="93" t="s">
        <v>60</v>
      </c>
      <c r="D40" s="94"/>
      <c r="E40" s="94"/>
      <c r="F40" s="94"/>
      <c r="G40" s="94"/>
      <c r="H40" s="94"/>
      <c r="I40" s="94"/>
      <c r="J40" s="94"/>
      <c r="K40" s="94"/>
      <c r="L40" s="94"/>
      <c r="M40" s="95"/>
    </row>
    <row r="41" spans="2:13" ht="35.25" customHeight="1" thickBot="1" x14ac:dyDescent="0.3">
      <c r="B41" s="49">
        <f t="shared" si="0"/>
        <v>4</v>
      </c>
      <c r="C41" s="93" t="s">
        <v>37</v>
      </c>
      <c r="D41" s="94"/>
      <c r="E41" s="94"/>
      <c r="F41" s="94"/>
      <c r="G41" s="94"/>
      <c r="H41" s="94"/>
      <c r="I41" s="94"/>
      <c r="J41" s="94"/>
      <c r="K41" s="94"/>
      <c r="L41" s="94"/>
      <c r="M41" s="95"/>
    </row>
    <row r="42" spans="2:13" ht="33" customHeight="1" thickBot="1" x14ac:dyDescent="0.3">
      <c r="B42" s="49">
        <f t="shared" si="0"/>
        <v>5</v>
      </c>
      <c r="C42" s="93" t="s">
        <v>62</v>
      </c>
      <c r="D42" s="94"/>
      <c r="E42" s="94"/>
      <c r="F42" s="94"/>
      <c r="G42" s="94"/>
      <c r="H42" s="94"/>
      <c r="I42" s="94"/>
      <c r="J42" s="94"/>
      <c r="K42" s="94"/>
      <c r="L42" s="94"/>
      <c r="M42" s="95"/>
    </row>
    <row r="43" spans="2:13" ht="15.75" thickBot="1" x14ac:dyDescent="0.3">
      <c r="B43" s="49">
        <f t="shared" si="0"/>
        <v>6</v>
      </c>
      <c r="C43" s="93" t="s">
        <v>51</v>
      </c>
      <c r="D43" s="94"/>
      <c r="E43" s="94"/>
      <c r="F43" s="94"/>
      <c r="G43" s="94"/>
      <c r="H43" s="94"/>
      <c r="I43" s="94"/>
      <c r="J43" s="94"/>
      <c r="K43" s="94"/>
      <c r="L43" s="94"/>
      <c r="M43" s="95"/>
    </row>
    <row r="44" spans="2:13" ht="45.75" customHeight="1" thickBot="1" x14ac:dyDescent="0.3">
      <c r="B44" s="49">
        <f t="shared" si="0"/>
        <v>7</v>
      </c>
      <c r="C44" s="93" t="s">
        <v>99</v>
      </c>
      <c r="D44" s="94"/>
      <c r="E44" s="94"/>
      <c r="F44" s="94"/>
      <c r="G44" s="94"/>
      <c r="H44" s="94"/>
      <c r="I44" s="94"/>
      <c r="J44" s="94"/>
      <c r="K44" s="94"/>
      <c r="L44" s="94"/>
      <c r="M44" s="95"/>
    </row>
    <row r="45" spans="2:13" ht="48" customHeight="1" thickBot="1" x14ac:dyDescent="0.3">
      <c r="B45" s="49">
        <f t="shared" si="0"/>
        <v>8</v>
      </c>
      <c r="C45" s="93" t="s">
        <v>98</v>
      </c>
      <c r="D45" s="94"/>
      <c r="E45" s="94"/>
      <c r="F45" s="94"/>
      <c r="G45" s="94"/>
      <c r="H45" s="94"/>
      <c r="I45" s="94"/>
      <c r="J45" s="94"/>
      <c r="K45" s="94"/>
      <c r="L45" s="94"/>
      <c r="M45" s="95"/>
    </row>
    <row r="46" spans="2:13" ht="15" customHeight="1" thickBot="1" x14ac:dyDescent="0.3">
      <c r="B46" s="49">
        <f t="shared" si="0"/>
        <v>9</v>
      </c>
      <c r="C46" s="106" t="s">
        <v>82</v>
      </c>
      <c r="D46" s="107"/>
      <c r="E46" s="107"/>
      <c r="F46" s="107"/>
      <c r="G46" s="107"/>
      <c r="H46" s="107"/>
      <c r="I46" s="107"/>
      <c r="J46" s="107"/>
      <c r="K46" s="107"/>
      <c r="L46" s="107"/>
      <c r="M46" s="108"/>
    </row>
    <row r="47" spans="2:13" ht="15" customHeight="1" thickBot="1" x14ac:dyDescent="0.3">
      <c r="B47" s="49">
        <f t="shared" si="0"/>
        <v>10</v>
      </c>
      <c r="C47" s="106" t="s">
        <v>85</v>
      </c>
      <c r="D47" s="107"/>
      <c r="E47" s="107"/>
      <c r="F47" s="107"/>
      <c r="G47" s="107"/>
      <c r="H47" s="107"/>
      <c r="I47" s="107"/>
      <c r="J47" s="107"/>
      <c r="K47" s="107"/>
      <c r="L47" s="107"/>
      <c r="M47" s="108"/>
    </row>
    <row r="48" spans="2:13" ht="15" customHeight="1" thickBot="1" x14ac:dyDescent="0.3">
      <c r="B48" s="49">
        <f t="shared" si="0"/>
        <v>11</v>
      </c>
      <c r="C48" s="106" t="s">
        <v>64</v>
      </c>
      <c r="D48" s="107"/>
      <c r="E48" s="107"/>
      <c r="F48" s="107"/>
      <c r="G48" s="107"/>
      <c r="H48" s="107"/>
      <c r="I48" s="107"/>
      <c r="J48" s="107"/>
      <c r="K48" s="107"/>
      <c r="L48" s="107"/>
      <c r="M48" s="108"/>
    </row>
    <row r="49" spans="2:13" ht="15" customHeight="1" thickBot="1" x14ac:dyDescent="0.3">
      <c r="B49" s="49">
        <v>12</v>
      </c>
      <c r="C49" s="106" t="s">
        <v>100</v>
      </c>
      <c r="D49" s="107"/>
      <c r="E49" s="107"/>
      <c r="F49" s="107"/>
      <c r="G49" s="107"/>
      <c r="H49" s="107"/>
      <c r="I49" s="107"/>
      <c r="J49" s="107"/>
      <c r="K49" s="107"/>
      <c r="L49" s="107"/>
      <c r="M49" s="108"/>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124" zoomScaleNormal="124" workbookViewId="0"/>
  </sheetViews>
  <sheetFormatPr defaultColWidth="8.85546875" defaultRowHeight="15" x14ac:dyDescent="0.25"/>
  <cols>
    <col min="1" max="1" width="8.85546875" style="2"/>
    <col min="2" max="2" width="5.42578125" style="47"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40"/>
      <c r="G2" s="40"/>
      <c r="H2" s="40"/>
      <c r="I2" s="40"/>
      <c r="J2" s="40"/>
      <c r="K2" s="40"/>
      <c r="L2" s="40"/>
      <c r="M2" s="41"/>
    </row>
    <row r="3" spans="3:13" x14ac:dyDescent="0.25">
      <c r="C3" s="36" t="s">
        <v>2</v>
      </c>
      <c r="D3" s="6" t="s">
        <v>15</v>
      </c>
      <c r="E3" s="7">
        <v>10000000</v>
      </c>
      <c r="M3" s="42"/>
    </row>
    <row r="4" spans="3:13" x14ac:dyDescent="0.25">
      <c r="C4" s="36" t="s">
        <v>1</v>
      </c>
      <c r="D4" s="6" t="s">
        <v>16</v>
      </c>
      <c r="E4" s="8">
        <v>0</v>
      </c>
      <c r="M4" s="42"/>
    </row>
    <row r="5" spans="3:13" x14ac:dyDescent="0.25">
      <c r="C5" s="36" t="s">
        <v>6</v>
      </c>
      <c r="D5" s="6" t="s">
        <v>17</v>
      </c>
      <c r="E5" s="8">
        <v>5.0000000000000001E-3</v>
      </c>
      <c r="M5" s="42"/>
    </row>
    <row r="6" spans="3:13" x14ac:dyDescent="0.25">
      <c r="C6" s="36" t="s">
        <v>39</v>
      </c>
      <c r="D6" s="6" t="s">
        <v>41</v>
      </c>
      <c r="E6" s="8">
        <v>0.15</v>
      </c>
      <c r="M6" s="42"/>
    </row>
    <row r="7" spans="3:13" x14ac:dyDescent="0.25">
      <c r="C7" s="36" t="s">
        <v>40</v>
      </c>
      <c r="D7" s="6" t="s">
        <v>42</v>
      </c>
      <c r="E7" s="8">
        <v>0.1</v>
      </c>
      <c r="M7" s="42"/>
    </row>
    <row r="8" spans="3:13" x14ac:dyDescent="0.25">
      <c r="C8" s="36" t="s">
        <v>56</v>
      </c>
      <c r="D8" s="6" t="s">
        <v>65</v>
      </c>
      <c r="E8" s="8">
        <v>2E-3</v>
      </c>
      <c r="M8" s="42"/>
    </row>
    <row r="9" spans="3:13" ht="15.75" thickBot="1" x14ac:dyDescent="0.3">
      <c r="C9" s="43"/>
      <c r="F9" s="44"/>
      <c r="M9" s="42"/>
    </row>
    <row r="10" spans="3:13" ht="15.75" thickBot="1" x14ac:dyDescent="0.3">
      <c r="C10" s="77" t="s">
        <v>79</v>
      </c>
      <c r="D10" s="78"/>
      <c r="E10" s="79"/>
      <c r="F10" s="102" t="s">
        <v>12</v>
      </c>
      <c r="G10" s="103"/>
      <c r="H10" s="102" t="s">
        <v>13</v>
      </c>
      <c r="I10" s="103"/>
      <c r="J10" s="102" t="s">
        <v>14</v>
      </c>
      <c r="K10" s="103"/>
      <c r="M10" s="42"/>
    </row>
    <row r="11" spans="3:13" x14ac:dyDescent="0.25">
      <c r="C11" s="77"/>
      <c r="D11" s="78"/>
      <c r="E11" s="78"/>
      <c r="F11" s="65" t="s">
        <v>3</v>
      </c>
      <c r="G11" s="66">
        <v>0.2</v>
      </c>
      <c r="H11" s="9" t="s">
        <v>4</v>
      </c>
      <c r="I11" s="10">
        <v>-0.2</v>
      </c>
      <c r="J11" s="9" t="s">
        <v>5</v>
      </c>
      <c r="K11" s="10">
        <v>0</v>
      </c>
      <c r="M11" s="42"/>
    </row>
    <row r="12" spans="3:13" x14ac:dyDescent="0.25">
      <c r="C12" s="36" t="s">
        <v>11</v>
      </c>
      <c r="D12" s="6" t="s">
        <v>19</v>
      </c>
      <c r="E12" s="11" t="s">
        <v>29</v>
      </c>
      <c r="F12" s="82">
        <f>+$E$3</f>
        <v>10000000</v>
      </c>
      <c r="G12" s="82"/>
      <c r="H12" s="82">
        <f>+$E$3</f>
        <v>10000000</v>
      </c>
      <c r="I12" s="82"/>
      <c r="J12" s="82">
        <f>+$E$3</f>
        <v>10000000</v>
      </c>
      <c r="K12" s="82"/>
      <c r="M12" s="42"/>
    </row>
    <row r="13" spans="3:13" x14ac:dyDescent="0.25">
      <c r="C13" s="36" t="s">
        <v>33</v>
      </c>
      <c r="D13" s="6" t="s">
        <v>20</v>
      </c>
      <c r="E13" s="11" t="s">
        <v>30</v>
      </c>
      <c r="F13" s="82">
        <f>F12*G11</f>
        <v>2000000</v>
      </c>
      <c r="G13" s="82"/>
      <c r="H13" s="82">
        <f>H12*I11</f>
        <v>-2000000</v>
      </c>
      <c r="I13" s="82"/>
      <c r="J13" s="84">
        <f>J12*K11</f>
        <v>0</v>
      </c>
      <c r="K13" s="84"/>
      <c r="M13" s="42"/>
    </row>
    <row r="14" spans="3:13" x14ac:dyDescent="0.25">
      <c r="C14" s="36" t="s">
        <v>7</v>
      </c>
      <c r="D14" s="6" t="s">
        <v>21</v>
      </c>
      <c r="E14" s="11" t="s">
        <v>31</v>
      </c>
      <c r="F14" s="82">
        <f>F12+F13</f>
        <v>12000000</v>
      </c>
      <c r="G14" s="82"/>
      <c r="H14" s="82">
        <f>H12+H13</f>
        <v>8000000</v>
      </c>
      <c r="I14" s="82"/>
      <c r="J14" s="82">
        <f>J12+J13</f>
        <v>10000000</v>
      </c>
      <c r="K14" s="82"/>
      <c r="M14" s="42"/>
    </row>
    <row r="15" spans="3:13" x14ac:dyDescent="0.25">
      <c r="C15" s="86"/>
      <c r="D15" s="87"/>
      <c r="E15" s="87"/>
      <c r="F15" s="87"/>
      <c r="G15" s="87"/>
      <c r="H15" s="87"/>
      <c r="I15" s="87"/>
      <c r="J15" s="87"/>
      <c r="K15" s="87"/>
      <c r="M15" s="42"/>
    </row>
    <row r="16" spans="3:13" x14ac:dyDescent="0.25">
      <c r="C16" s="36" t="s">
        <v>18</v>
      </c>
      <c r="D16" s="6" t="s">
        <v>22</v>
      </c>
      <c r="E16" s="11" t="s">
        <v>32</v>
      </c>
      <c r="F16" s="82">
        <f>(F12+F14)/2</f>
        <v>11000000</v>
      </c>
      <c r="G16" s="82"/>
      <c r="H16" s="82">
        <f>(H12+H14)/2</f>
        <v>9000000</v>
      </c>
      <c r="I16" s="82"/>
      <c r="J16" s="82">
        <f>(J12+J14)/2</f>
        <v>10000000</v>
      </c>
      <c r="K16" s="82"/>
      <c r="M16" s="42"/>
    </row>
    <row r="17" spans="3:13" x14ac:dyDescent="0.25">
      <c r="C17" s="86"/>
      <c r="D17" s="87"/>
      <c r="E17" s="87"/>
      <c r="F17" s="87"/>
      <c r="G17" s="87"/>
      <c r="H17" s="87"/>
      <c r="I17" s="87"/>
      <c r="J17" s="87"/>
      <c r="K17" s="87"/>
      <c r="M17" s="42"/>
    </row>
    <row r="18" spans="3:13" x14ac:dyDescent="0.25">
      <c r="C18" s="36" t="s">
        <v>34</v>
      </c>
      <c r="D18" s="6" t="s">
        <v>23</v>
      </c>
      <c r="E18" s="11" t="s">
        <v>55</v>
      </c>
      <c r="F18" s="82">
        <f>+F16*-$E$5</f>
        <v>-55000</v>
      </c>
      <c r="G18" s="82"/>
      <c r="H18" s="82">
        <f>+H16*-$E$5</f>
        <v>-45000</v>
      </c>
      <c r="I18" s="82"/>
      <c r="J18" s="82">
        <f>+J16*-$E$5</f>
        <v>-50000</v>
      </c>
      <c r="K18" s="82"/>
      <c r="M18" s="42"/>
    </row>
    <row r="19" spans="3:13" x14ac:dyDescent="0.25">
      <c r="C19" s="36" t="s">
        <v>56</v>
      </c>
      <c r="D19" s="6" t="s">
        <v>24</v>
      </c>
      <c r="E19" s="11" t="s">
        <v>66</v>
      </c>
      <c r="F19" s="82">
        <f>+F16*-$E$8</f>
        <v>-22000</v>
      </c>
      <c r="G19" s="82"/>
      <c r="H19" s="82">
        <f>+H16*-$E$8</f>
        <v>-18000</v>
      </c>
      <c r="I19" s="82"/>
      <c r="J19" s="82">
        <f>+J16*-$E$8</f>
        <v>-20000</v>
      </c>
      <c r="K19" s="82"/>
      <c r="M19" s="42"/>
    </row>
    <row r="20" spans="3:13" x14ac:dyDescent="0.25">
      <c r="C20" s="36" t="s">
        <v>35</v>
      </c>
      <c r="D20" s="6" t="s">
        <v>25</v>
      </c>
      <c r="E20" s="5" t="s">
        <v>58</v>
      </c>
      <c r="F20" s="82">
        <f>+(F16+F18+F19)*-$E$4</f>
        <v>0</v>
      </c>
      <c r="G20" s="82"/>
      <c r="H20" s="82">
        <f>+(H16+H18+H19)*-$E$4</f>
        <v>0</v>
      </c>
      <c r="I20" s="82"/>
      <c r="J20" s="82">
        <f>+(J16+J18+J19)*-$E$4</f>
        <v>0</v>
      </c>
      <c r="K20" s="82"/>
      <c r="M20" s="42"/>
    </row>
    <row r="21" spans="3:13" x14ac:dyDescent="0.25">
      <c r="C21" s="36" t="s">
        <v>69</v>
      </c>
      <c r="D21" s="6" t="s">
        <v>26</v>
      </c>
      <c r="E21" s="5" t="s">
        <v>59</v>
      </c>
      <c r="F21" s="82">
        <f>+F18+F20+F19</f>
        <v>-77000</v>
      </c>
      <c r="G21" s="82"/>
      <c r="H21" s="82">
        <f>+H18+H20+H19</f>
        <v>-63000</v>
      </c>
      <c r="I21" s="82"/>
      <c r="J21" s="82">
        <f>+J18+J20+J19</f>
        <v>-70000</v>
      </c>
      <c r="K21" s="82"/>
      <c r="M21" s="42"/>
    </row>
    <row r="22" spans="3:13" x14ac:dyDescent="0.25">
      <c r="C22" s="86"/>
      <c r="D22" s="87"/>
      <c r="E22" s="87"/>
      <c r="F22" s="87"/>
      <c r="G22" s="87"/>
      <c r="H22" s="87"/>
      <c r="I22" s="87"/>
      <c r="J22" s="87"/>
      <c r="K22" s="87"/>
      <c r="M22" s="42"/>
    </row>
    <row r="23" spans="3:13" x14ac:dyDescent="0.25">
      <c r="C23" s="36" t="s">
        <v>43</v>
      </c>
      <c r="D23" s="6" t="s">
        <v>27</v>
      </c>
      <c r="E23" s="5" t="s">
        <v>67</v>
      </c>
      <c r="F23" s="82">
        <f>F14+F21</f>
        <v>11923000</v>
      </c>
      <c r="G23" s="82"/>
      <c r="H23" s="82">
        <f>H14+H21</f>
        <v>7937000</v>
      </c>
      <c r="I23" s="82"/>
      <c r="J23" s="82">
        <f>J14+J21</f>
        <v>9930000</v>
      </c>
      <c r="K23" s="82"/>
      <c r="M23" s="42"/>
    </row>
    <row r="24" spans="3:13" ht="45" x14ac:dyDescent="0.25">
      <c r="C24" s="36" t="s">
        <v>71</v>
      </c>
      <c r="D24" s="6" t="s">
        <v>28</v>
      </c>
      <c r="E24" s="5"/>
      <c r="F24" s="82">
        <f>F12</f>
        <v>10000000</v>
      </c>
      <c r="G24" s="82"/>
      <c r="H24" s="82">
        <f>H12</f>
        <v>10000000</v>
      </c>
      <c r="I24" s="82"/>
      <c r="J24" s="82">
        <f>J12</f>
        <v>10000000</v>
      </c>
      <c r="K24" s="82"/>
      <c r="M24" s="42"/>
    </row>
    <row r="25" spans="3:13" ht="30" x14ac:dyDescent="0.25">
      <c r="C25" s="39" t="s">
        <v>72</v>
      </c>
      <c r="D25" s="6" t="s">
        <v>45</v>
      </c>
      <c r="E25" s="13" t="s">
        <v>70</v>
      </c>
      <c r="F25" s="82">
        <f>(F24*$E$7)</f>
        <v>1000000</v>
      </c>
      <c r="G25" s="82"/>
      <c r="H25" s="82">
        <f>(H24*$E$7)</f>
        <v>1000000</v>
      </c>
      <c r="I25" s="82"/>
      <c r="J25" s="82">
        <f>(J24*$E$7)</f>
        <v>1000000</v>
      </c>
      <c r="K25" s="82"/>
      <c r="M25" s="42"/>
    </row>
    <row r="26" spans="3:13" ht="45" x14ac:dyDescent="0.25">
      <c r="C26" s="36" t="s">
        <v>73</v>
      </c>
      <c r="D26" s="6" t="s">
        <v>46</v>
      </c>
      <c r="E26" s="5" t="s">
        <v>74</v>
      </c>
      <c r="F26" s="82" t="str">
        <f>IF(F23&gt;(F24+F25),("Yes"),("No Pfee"))</f>
        <v>Yes</v>
      </c>
      <c r="G26" s="82"/>
      <c r="H26" s="82" t="str">
        <f>IF(H23&gt;(H24+H25),("Yes"),("No Pfee"))</f>
        <v>No Pfee</v>
      </c>
      <c r="I26" s="82"/>
      <c r="J26" s="82" t="str">
        <f>IF(J23&gt;(J24+J25),("Yes"),("No Pfee"))</f>
        <v>No Pfee</v>
      </c>
      <c r="K26" s="82"/>
      <c r="M26" s="42"/>
    </row>
    <row r="27" spans="3:13" x14ac:dyDescent="0.25">
      <c r="C27" s="104" t="s">
        <v>44</v>
      </c>
      <c r="D27" s="105"/>
      <c r="E27" s="105"/>
      <c r="F27" s="105"/>
      <c r="G27" s="105"/>
      <c r="H27" s="105"/>
      <c r="I27" s="105"/>
      <c r="J27" s="105"/>
      <c r="K27" s="105"/>
      <c r="M27" s="42"/>
    </row>
    <row r="28" spans="3:13" x14ac:dyDescent="0.25">
      <c r="C28" s="36" t="s">
        <v>53</v>
      </c>
      <c r="D28" s="6" t="s">
        <v>47</v>
      </c>
      <c r="E28" s="5" t="s">
        <v>75</v>
      </c>
      <c r="F28" s="82">
        <f>+IF(F26="Yes",(F23-F24-F25),(0))</f>
        <v>923000</v>
      </c>
      <c r="G28" s="82"/>
      <c r="H28" s="82">
        <f>+IF(H26="Yes",(H23-H24-H25),(0))</f>
        <v>0</v>
      </c>
      <c r="I28" s="82"/>
      <c r="J28" s="82">
        <f>+IF(J26="Yes",(J23-J24-J25),(0))</f>
        <v>0</v>
      </c>
      <c r="K28" s="82"/>
      <c r="M28" s="42"/>
    </row>
    <row r="29" spans="3:13" x14ac:dyDescent="0.25">
      <c r="C29" s="39" t="s">
        <v>48</v>
      </c>
      <c r="D29" s="6" t="s">
        <v>49</v>
      </c>
      <c r="E29" s="13" t="s">
        <v>76</v>
      </c>
      <c r="F29" s="82">
        <f>+F28*-$E$6</f>
        <v>-138450</v>
      </c>
      <c r="G29" s="82"/>
      <c r="H29" s="82">
        <f>+H28*-$E$6</f>
        <v>0</v>
      </c>
      <c r="I29" s="82"/>
      <c r="J29" s="82">
        <f>+J28*-$E$6</f>
        <v>0</v>
      </c>
      <c r="K29" s="82"/>
      <c r="M29" s="42"/>
    </row>
    <row r="30" spans="3:13" x14ac:dyDescent="0.25">
      <c r="C30" s="38"/>
      <c r="D30" s="6"/>
      <c r="E30" s="6"/>
      <c r="F30" s="6"/>
      <c r="G30" s="6"/>
      <c r="H30" s="6"/>
      <c r="I30" s="6"/>
      <c r="J30" s="6"/>
      <c r="K30" s="6"/>
      <c r="M30" s="42"/>
    </row>
    <row r="31" spans="3:13" ht="30" x14ac:dyDescent="0.25">
      <c r="C31" s="36" t="s">
        <v>54</v>
      </c>
      <c r="D31" s="6" t="s">
        <v>50</v>
      </c>
      <c r="E31" s="5" t="s">
        <v>77</v>
      </c>
      <c r="F31" s="82">
        <f>+F23+F29</f>
        <v>11784550</v>
      </c>
      <c r="G31" s="82"/>
      <c r="H31" s="82">
        <f>+H23+H29</f>
        <v>7937000</v>
      </c>
      <c r="I31" s="82"/>
      <c r="J31" s="82">
        <f>+J23+J29</f>
        <v>9930000</v>
      </c>
      <c r="K31" s="82"/>
      <c r="M31" s="42"/>
    </row>
    <row r="32" spans="3:13" x14ac:dyDescent="0.25">
      <c r="C32" s="36" t="s">
        <v>10</v>
      </c>
      <c r="D32" s="6" t="s">
        <v>52</v>
      </c>
      <c r="E32" s="5" t="s">
        <v>78</v>
      </c>
      <c r="F32" s="91">
        <f>+F31/F12-1</f>
        <v>0.17845500000000003</v>
      </c>
      <c r="G32" s="91"/>
      <c r="H32" s="91">
        <f>+H31/H12-1</f>
        <v>-0.20630000000000004</v>
      </c>
      <c r="I32" s="91"/>
      <c r="J32" s="91">
        <f>+J31/J12-1</f>
        <v>-7.0000000000000062E-3</v>
      </c>
      <c r="K32" s="91"/>
      <c r="M32" s="42"/>
    </row>
    <row r="33" spans="2:13" x14ac:dyDescent="0.25">
      <c r="C33" s="38"/>
      <c r="D33" s="6"/>
      <c r="E33" s="6"/>
      <c r="F33" s="6"/>
      <c r="G33" s="6"/>
      <c r="H33" s="6"/>
      <c r="I33" s="6"/>
      <c r="J33" s="6"/>
      <c r="K33" s="6"/>
      <c r="M33" s="42"/>
    </row>
    <row r="34" spans="2:13" ht="45" x14ac:dyDescent="0.25">
      <c r="C34" s="36" t="s">
        <v>108</v>
      </c>
      <c r="D34" s="6" t="s">
        <v>80</v>
      </c>
      <c r="E34" s="5" t="s">
        <v>87</v>
      </c>
      <c r="F34" s="82">
        <f>MAX(F24,F31)</f>
        <v>11784550</v>
      </c>
      <c r="G34" s="82"/>
      <c r="H34" s="82">
        <f>MAX(H24,H31)</f>
        <v>10000000</v>
      </c>
      <c r="I34" s="82"/>
      <c r="J34" s="82">
        <f>MAX(J24,J31)</f>
        <v>10000000</v>
      </c>
      <c r="K34" s="82"/>
      <c r="M34" s="42"/>
    </row>
    <row r="35" spans="2:13" ht="45" x14ac:dyDescent="0.25">
      <c r="C35" s="36" t="s">
        <v>109</v>
      </c>
      <c r="D35" s="6" t="s">
        <v>80</v>
      </c>
      <c r="E35" s="5" t="s">
        <v>86</v>
      </c>
      <c r="F35" s="82">
        <f>MAX(F24,F23)</f>
        <v>11923000</v>
      </c>
      <c r="G35" s="82"/>
      <c r="H35" s="82">
        <f>MAX(H24,H23)</f>
        <v>10000000</v>
      </c>
      <c r="I35" s="82"/>
      <c r="J35" s="82">
        <f>MAX(J24,J23)</f>
        <v>10000000</v>
      </c>
      <c r="K35" s="82"/>
      <c r="M35" s="42"/>
    </row>
    <row r="36" spans="2:13" x14ac:dyDescent="0.25">
      <c r="C36" s="43"/>
      <c r="F36" s="45"/>
      <c r="G36" s="45"/>
      <c r="H36" s="45"/>
      <c r="I36" s="45"/>
      <c r="J36" s="45"/>
      <c r="K36" s="45"/>
      <c r="L36" s="45"/>
      <c r="M36" s="46"/>
    </row>
    <row r="37" spans="2:13" ht="15.75" thickBot="1" x14ac:dyDescent="0.3">
      <c r="B37" s="48"/>
      <c r="C37" s="109" t="s">
        <v>88</v>
      </c>
      <c r="D37" s="110"/>
      <c r="E37" s="110"/>
      <c r="F37" s="110"/>
      <c r="G37" s="110"/>
      <c r="H37" s="110"/>
      <c r="I37" s="110"/>
      <c r="J37" s="110"/>
      <c r="K37" s="110"/>
      <c r="L37" s="110"/>
      <c r="M37" s="111"/>
    </row>
    <row r="38" spans="2:13" ht="42.75" customHeight="1" thickBot="1" x14ac:dyDescent="0.3">
      <c r="B38" s="49">
        <v>1</v>
      </c>
      <c r="C38" s="106" t="s">
        <v>111</v>
      </c>
      <c r="D38" s="107"/>
      <c r="E38" s="107"/>
      <c r="F38" s="107"/>
      <c r="G38" s="107"/>
      <c r="H38" s="107"/>
      <c r="I38" s="107"/>
      <c r="J38" s="107"/>
      <c r="K38" s="107"/>
      <c r="L38" s="107"/>
      <c r="M38" s="108"/>
    </row>
    <row r="39" spans="2:13" ht="40.5" customHeight="1" thickBot="1" x14ac:dyDescent="0.3">
      <c r="B39" s="49">
        <f t="shared" ref="B39:B48" si="0">+B38+1</f>
        <v>2</v>
      </c>
      <c r="C39" s="106" t="s">
        <v>81</v>
      </c>
      <c r="D39" s="107"/>
      <c r="E39" s="107"/>
      <c r="F39" s="107"/>
      <c r="G39" s="107"/>
      <c r="H39" s="107"/>
      <c r="I39" s="107"/>
      <c r="J39" s="107"/>
      <c r="K39" s="107"/>
      <c r="L39" s="107"/>
      <c r="M39" s="108"/>
    </row>
    <row r="40" spans="2:13" ht="15.75" thickBot="1" x14ac:dyDescent="0.3">
      <c r="B40" s="49">
        <f t="shared" si="0"/>
        <v>3</v>
      </c>
      <c r="C40" s="106" t="s">
        <v>60</v>
      </c>
      <c r="D40" s="107"/>
      <c r="E40" s="107"/>
      <c r="F40" s="107"/>
      <c r="G40" s="107"/>
      <c r="H40" s="107"/>
      <c r="I40" s="107"/>
      <c r="J40" s="107"/>
      <c r="K40" s="107"/>
      <c r="L40" s="107"/>
      <c r="M40" s="108"/>
    </row>
    <row r="41" spans="2:13" ht="32.25" customHeight="1" thickBot="1" x14ac:dyDescent="0.3">
      <c r="B41" s="49">
        <f t="shared" si="0"/>
        <v>4</v>
      </c>
      <c r="C41" s="112" t="s">
        <v>37</v>
      </c>
      <c r="D41" s="113"/>
      <c r="E41" s="113"/>
      <c r="F41" s="113"/>
      <c r="G41" s="113"/>
      <c r="H41" s="113"/>
      <c r="I41" s="113"/>
      <c r="J41" s="113"/>
      <c r="K41" s="113"/>
      <c r="L41" s="113"/>
      <c r="M41" s="114"/>
    </row>
    <row r="42" spans="2:13" ht="45" customHeight="1" thickBot="1" x14ac:dyDescent="0.3">
      <c r="B42" s="49">
        <f t="shared" si="0"/>
        <v>5</v>
      </c>
      <c r="C42" s="106" t="s">
        <v>62</v>
      </c>
      <c r="D42" s="107"/>
      <c r="E42" s="107"/>
      <c r="F42" s="107"/>
      <c r="G42" s="107"/>
      <c r="H42" s="107"/>
      <c r="I42" s="107"/>
      <c r="J42" s="107"/>
      <c r="K42" s="107"/>
      <c r="L42" s="107"/>
      <c r="M42" s="108"/>
    </row>
    <row r="43" spans="2:13" ht="15.75" thickBot="1" x14ac:dyDescent="0.3">
      <c r="B43" s="49">
        <f t="shared" si="0"/>
        <v>6</v>
      </c>
      <c r="C43" s="106" t="s">
        <v>51</v>
      </c>
      <c r="D43" s="107"/>
      <c r="E43" s="107"/>
      <c r="F43" s="107"/>
      <c r="G43" s="107"/>
      <c r="H43" s="107"/>
      <c r="I43" s="107"/>
      <c r="J43" s="107"/>
      <c r="K43" s="107"/>
      <c r="L43" s="107"/>
      <c r="M43" s="108"/>
    </row>
    <row r="44" spans="2:13" ht="46.5" customHeight="1" thickBot="1" x14ac:dyDescent="0.3">
      <c r="B44" s="49">
        <f t="shared" si="0"/>
        <v>7</v>
      </c>
      <c r="C44" s="106" t="s">
        <v>83</v>
      </c>
      <c r="D44" s="107"/>
      <c r="E44" s="107"/>
      <c r="F44" s="107"/>
      <c r="G44" s="107"/>
      <c r="H44" s="107"/>
      <c r="I44" s="107"/>
      <c r="J44" s="107"/>
      <c r="K44" s="107"/>
      <c r="L44" s="107"/>
      <c r="M44" s="108"/>
    </row>
    <row r="45" spans="2:13" ht="34.5" customHeight="1" thickBot="1" x14ac:dyDescent="0.3">
      <c r="B45" s="49">
        <f t="shared" si="0"/>
        <v>8</v>
      </c>
      <c r="C45" s="106" t="s">
        <v>84</v>
      </c>
      <c r="D45" s="107"/>
      <c r="E45" s="107"/>
      <c r="F45" s="107"/>
      <c r="G45" s="107"/>
      <c r="H45" s="107"/>
      <c r="I45" s="107"/>
      <c r="J45" s="107"/>
      <c r="K45" s="107"/>
      <c r="L45" s="107"/>
      <c r="M45" s="108"/>
    </row>
    <row r="46" spans="2:13" ht="15.75" thickBot="1" x14ac:dyDescent="0.3">
      <c r="B46" s="49">
        <f t="shared" si="0"/>
        <v>9</v>
      </c>
      <c r="C46" s="106" t="s">
        <v>82</v>
      </c>
      <c r="D46" s="107"/>
      <c r="E46" s="107"/>
      <c r="F46" s="107"/>
      <c r="G46" s="107"/>
      <c r="H46" s="107"/>
      <c r="I46" s="107"/>
      <c r="J46" s="107"/>
      <c r="K46" s="107"/>
      <c r="L46" s="107"/>
      <c r="M46" s="108"/>
    </row>
    <row r="47" spans="2:13" ht="15.75" thickBot="1" x14ac:dyDescent="0.3">
      <c r="B47" s="49">
        <f t="shared" si="0"/>
        <v>10</v>
      </c>
      <c r="C47" s="106" t="s">
        <v>85</v>
      </c>
      <c r="D47" s="107"/>
      <c r="E47" s="107"/>
      <c r="F47" s="107"/>
      <c r="G47" s="107"/>
      <c r="H47" s="107"/>
      <c r="I47" s="107"/>
      <c r="J47" s="107"/>
      <c r="K47" s="107"/>
      <c r="L47" s="107"/>
      <c r="M47" s="108"/>
    </row>
    <row r="48" spans="2:13" ht="15.75" thickBot="1" x14ac:dyDescent="0.3">
      <c r="B48" s="49">
        <f t="shared" si="0"/>
        <v>11</v>
      </c>
      <c r="C48" s="106" t="s">
        <v>64</v>
      </c>
      <c r="D48" s="107"/>
      <c r="E48" s="107"/>
      <c r="F48" s="107"/>
      <c r="G48" s="107"/>
      <c r="H48" s="107"/>
      <c r="I48" s="107"/>
      <c r="J48" s="107"/>
      <c r="K48" s="107"/>
      <c r="L48" s="107"/>
      <c r="M48" s="108"/>
    </row>
    <row r="49" spans="2:13" ht="15.75" thickBot="1" x14ac:dyDescent="0.3">
      <c r="B49" s="49">
        <v>12</v>
      </c>
      <c r="C49" s="93" t="s">
        <v>100</v>
      </c>
      <c r="D49" s="94"/>
      <c r="E49" s="94"/>
      <c r="F49" s="94"/>
      <c r="G49" s="94"/>
      <c r="H49" s="94"/>
      <c r="I49" s="94"/>
      <c r="J49" s="94"/>
      <c r="K49" s="94"/>
      <c r="L49" s="94"/>
      <c r="M49" s="95"/>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2"/>
  <sheetViews>
    <sheetView showGridLines="0" zoomScale="112" zoomScaleNormal="112" workbookViewId="0"/>
  </sheetViews>
  <sheetFormatPr defaultColWidth="14.42578125" defaultRowHeight="15" customHeight="1" x14ac:dyDescent="0.25"/>
  <cols>
    <col min="2" max="2" width="4.140625" customWidth="1"/>
    <col min="3" max="3" width="48" customWidth="1"/>
    <col min="4" max="4" width="8" customWidth="1"/>
    <col min="5" max="5" width="18.14062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21.7109375" bestFit="1" customWidth="1"/>
    <col min="18" max="22" width="12.7109375" customWidth="1"/>
    <col min="23" max="26" width="8.85546875" customWidth="1"/>
  </cols>
  <sheetData>
    <row r="1" spans="2:26" ht="15" customHeight="1" thickBot="1" x14ac:dyDescent="0.3">
      <c r="B1" s="74"/>
      <c r="C1" s="75"/>
      <c r="D1" s="75"/>
      <c r="E1" s="75"/>
      <c r="F1" s="75"/>
      <c r="G1" s="75"/>
      <c r="H1" s="75"/>
      <c r="I1" s="75"/>
      <c r="J1" s="75"/>
      <c r="K1" s="75"/>
      <c r="L1" s="75"/>
      <c r="M1" s="75"/>
      <c r="N1" s="75"/>
      <c r="O1" s="56"/>
    </row>
    <row r="2" spans="2:26" ht="30" x14ac:dyDescent="0.25">
      <c r="B2" s="52"/>
      <c r="C2" s="53"/>
      <c r="D2" s="53"/>
      <c r="E2" s="54" t="s">
        <v>95</v>
      </c>
      <c r="F2" s="55"/>
      <c r="G2" s="55"/>
      <c r="H2" s="55"/>
      <c r="I2" s="55"/>
      <c r="J2" s="55"/>
      <c r="K2" s="55"/>
      <c r="L2" s="55"/>
      <c r="M2" s="55"/>
      <c r="N2" s="55"/>
      <c r="O2" s="56"/>
    </row>
    <row r="3" spans="2:26" x14ac:dyDescent="0.25">
      <c r="B3" s="57"/>
      <c r="C3" s="22" t="s">
        <v>0</v>
      </c>
      <c r="D3" s="23"/>
      <c r="E3" s="22"/>
      <c r="F3" s="14"/>
      <c r="G3" s="14"/>
      <c r="H3" s="14"/>
      <c r="I3" s="14"/>
      <c r="J3" s="14"/>
      <c r="K3" s="14"/>
      <c r="L3" s="14"/>
      <c r="M3" s="14"/>
      <c r="N3" s="14"/>
      <c r="O3" s="58"/>
    </row>
    <row r="4" spans="2:26" x14ac:dyDescent="0.25">
      <c r="B4" s="57"/>
      <c r="C4" s="18" t="s">
        <v>2</v>
      </c>
      <c r="D4" s="19" t="s">
        <v>15</v>
      </c>
      <c r="E4" s="28">
        <v>10000000</v>
      </c>
      <c r="F4" s="14"/>
      <c r="G4" s="14"/>
      <c r="H4" s="14"/>
      <c r="I4" s="14"/>
      <c r="J4" s="14"/>
      <c r="K4" s="14"/>
      <c r="L4" s="14"/>
      <c r="M4" s="14"/>
      <c r="N4" s="14"/>
      <c r="O4" s="58"/>
    </row>
    <row r="5" spans="2:26" x14ac:dyDescent="0.25">
      <c r="B5" s="57"/>
      <c r="C5" s="18" t="s">
        <v>1</v>
      </c>
      <c r="D5" s="19" t="s">
        <v>16</v>
      </c>
      <c r="E5" s="29">
        <v>0.01</v>
      </c>
      <c r="F5" s="14"/>
      <c r="G5" s="14"/>
      <c r="H5" s="14"/>
      <c r="I5" s="14"/>
      <c r="J5" s="14"/>
      <c r="K5" s="14"/>
      <c r="L5" s="14"/>
      <c r="M5" s="14"/>
      <c r="N5" s="14"/>
      <c r="O5" s="58"/>
    </row>
    <row r="6" spans="2:26" x14ac:dyDescent="0.25">
      <c r="B6" s="57"/>
      <c r="C6" s="18" t="s">
        <v>6</v>
      </c>
      <c r="D6" s="19" t="s">
        <v>17</v>
      </c>
      <c r="E6" s="29">
        <v>5.0000000000000001E-3</v>
      </c>
      <c r="F6" s="14"/>
      <c r="G6" s="14"/>
      <c r="H6" s="14"/>
      <c r="I6" s="14"/>
      <c r="J6" s="14"/>
      <c r="K6" s="14"/>
      <c r="L6" s="14"/>
      <c r="M6" s="14"/>
      <c r="N6" s="14"/>
      <c r="O6" s="58"/>
    </row>
    <row r="7" spans="2:26" x14ac:dyDescent="0.25">
      <c r="B7" s="57"/>
      <c r="C7" s="18" t="s">
        <v>39</v>
      </c>
      <c r="D7" s="19" t="s">
        <v>41</v>
      </c>
      <c r="E7" s="29">
        <v>0.2</v>
      </c>
      <c r="F7" s="14"/>
      <c r="G7" s="14"/>
      <c r="H7" s="14"/>
      <c r="I7" s="14"/>
      <c r="J7" s="14"/>
      <c r="K7" s="14"/>
      <c r="L7" s="14"/>
      <c r="M7" s="14"/>
      <c r="N7" s="14"/>
      <c r="O7" s="58"/>
    </row>
    <row r="8" spans="2:26" x14ac:dyDescent="0.25">
      <c r="B8" s="57"/>
      <c r="C8" s="18" t="s">
        <v>40</v>
      </c>
      <c r="D8" s="19" t="s">
        <v>42</v>
      </c>
      <c r="E8" s="29">
        <v>0.12</v>
      </c>
      <c r="F8" s="14"/>
      <c r="G8" s="14"/>
      <c r="H8" s="14"/>
      <c r="I8" s="14"/>
      <c r="J8" s="14"/>
      <c r="K8" s="14"/>
      <c r="L8" s="14"/>
      <c r="M8" s="14"/>
      <c r="N8" s="14"/>
      <c r="O8" s="58"/>
    </row>
    <row r="9" spans="2:26" x14ac:dyDescent="0.25">
      <c r="B9" s="57"/>
      <c r="C9" s="18" t="s">
        <v>56</v>
      </c>
      <c r="D9" s="19" t="s">
        <v>65</v>
      </c>
      <c r="E9" s="29">
        <v>2E-3</v>
      </c>
      <c r="F9" s="14"/>
      <c r="G9" s="14"/>
      <c r="H9" s="14"/>
      <c r="I9" s="14"/>
      <c r="J9" s="14"/>
      <c r="K9" s="14"/>
      <c r="L9" s="14"/>
      <c r="M9" s="14"/>
      <c r="N9" s="14"/>
      <c r="O9" s="59"/>
      <c r="P9" s="14"/>
    </row>
    <row r="10" spans="2:26" ht="15.75" thickBot="1" x14ac:dyDescent="0.3">
      <c r="B10" s="57"/>
      <c r="C10" s="15"/>
      <c r="D10" s="16"/>
      <c r="E10" s="15"/>
      <c r="F10" s="17"/>
      <c r="G10" s="14"/>
      <c r="H10" s="14"/>
      <c r="I10" s="14"/>
      <c r="J10" s="14"/>
      <c r="K10" s="14"/>
      <c r="L10" s="14"/>
      <c r="M10" s="14"/>
      <c r="N10" s="14"/>
      <c r="O10" s="59"/>
      <c r="P10" s="14"/>
      <c r="Q10" s="14"/>
      <c r="R10" s="14"/>
      <c r="S10" s="14"/>
      <c r="T10" s="14"/>
      <c r="U10" s="14"/>
      <c r="V10" s="14"/>
      <c r="W10" s="14"/>
      <c r="X10" s="14"/>
      <c r="Y10" s="14"/>
      <c r="Z10" s="14"/>
    </row>
    <row r="11" spans="2:26" ht="15.75" thickBot="1" x14ac:dyDescent="0.3">
      <c r="B11" s="57"/>
      <c r="C11" s="115" t="s">
        <v>103</v>
      </c>
      <c r="D11" s="116"/>
      <c r="E11" s="117"/>
      <c r="F11" s="118" t="s">
        <v>94</v>
      </c>
      <c r="G11" s="119"/>
      <c r="H11" s="118" t="s">
        <v>93</v>
      </c>
      <c r="I11" s="119"/>
      <c r="J11" s="118" t="s">
        <v>92</v>
      </c>
      <c r="K11" s="119"/>
      <c r="L11" s="118" t="s">
        <v>91</v>
      </c>
      <c r="M11" s="119"/>
      <c r="N11" s="118" t="s">
        <v>90</v>
      </c>
      <c r="O11" s="119"/>
      <c r="P11" s="14"/>
      <c r="Q11" s="14"/>
      <c r="R11" s="14"/>
      <c r="S11" s="14"/>
      <c r="T11" s="14"/>
      <c r="U11" s="14"/>
      <c r="V11" s="14"/>
      <c r="W11" s="14"/>
      <c r="X11" s="14"/>
      <c r="Y11" s="14"/>
      <c r="Z11" s="14"/>
    </row>
    <row r="12" spans="2:26" ht="15.75" thickBot="1" x14ac:dyDescent="0.3">
      <c r="B12" s="57"/>
      <c r="C12" s="116"/>
      <c r="D12" s="116"/>
      <c r="E12" s="117"/>
      <c r="F12" s="69" t="s">
        <v>89</v>
      </c>
      <c r="G12" s="70">
        <v>-0.1</v>
      </c>
      <c r="H12" s="71" t="s">
        <v>89</v>
      </c>
      <c r="I12" s="72">
        <v>0.25</v>
      </c>
      <c r="J12" s="71" t="s">
        <v>89</v>
      </c>
      <c r="K12" s="72">
        <v>-0.1</v>
      </c>
      <c r="L12" s="71" t="s">
        <v>89</v>
      </c>
      <c r="M12" s="72">
        <v>0.35</v>
      </c>
      <c r="N12" s="71" t="s">
        <v>89</v>
      </c>
      <c r="O12" s="73">
        <v>-0.1</v>
      </c>
      <c r="P12" s="14"/>
      <c r="W12" s="14"/>
      <c r="X12" s="14"/>
      <c r="Y12" s="14"/>
      <c r="Z12" s="14"/>
    </row>
    <row r="13" spans="2:26" x14ac:dyDescent="0.25">
      <c r="B13" s="57"/>
      <c r="C13" s="18" t="s">
        <v>102</v>
      </c>
      <c r="D13" s="19" t="s">
        <v>19</v>
      </c>
      <c r="E13" s="11" t="s">
        <v>29</v>
      </c>
      <c r="F13" s="120">
        <f>E4</f>
        <v>10000000</v>
      </c>
      <c r="G13" s="121"/>
      <c r="H13" s="120">
        <f>F32</f>
        <v>8839165</v>
      </c>
      <c r="I13" s="121"/>
      <c r="J13" s="120">
        <f>H32</f>
        <v>10880603.30361875</v>
      </c>
      <c r="K13" s="121"/>
      <c r="L13" s="120">
        <f>J32</f>
        <v>9617544.790023122</v>
      </c>
      <c r="M13" s="121"/>
      <c r="N13" s="120">
        <f>L32</f>
        <v>12671147.981938185</v>
      </c>
      <c r="O13" s="123"/>
      <c r="P13" s="14"/>
      <c r="W13" s="14"/>
      <c r="X13" s="14"/>
      <c r="Y13" s="14"/>
      <c r="Z13" s="14"/>
    </row>
    <row r="14" spans="2:26" x14ac:dyDescent="0.25">
      <c r="B14" s="57"/>
      <c r="C14" s="18" t="s">
        <v>33</v>
      </c>
      <c r="D14" s="19" t="s">
        <v>20</v>
      </c>
      <c r="E14" s="11" t="s">
        <v>30</v>
      </c>
      <c r="F14" s="122">
        <f>F13*G12</f>
        <v>-1000000</v>
      </c>
      <c r="G14" s="116"/>
      <c r="H14" s="122">
        <f>H13*I12</f>
        <v>2209791.25</v>
      </c>
      <c r="I14" s="116"/>
      <c r="J14" s="122">
        <f>J13*K12</f>
        <v>-1088060.330361875</v>
      </c>
      <c r="K14" s="116"/>
      <c r="L14" s="122">
        <f>L13*M12</f>
        <v>3366140.6765080923</v>
      </c>
      <c r="M14" s="116"/>
      <c r="N14" s="122">
        <f>N13*O12</f>
        <v>-1267114.7981938187</v>
      </c>
      <c r="O14" s="124"/>
      <c r="P14" s="14"/>
      <c r="W14" s="14"/>
      <c r="X14" s="14"/>
      <c r="Y14" s="14"/>
      <c r="Z14" s="14"/>
    </row>
    <row r="15" spans="2:26" x14ac:dyDescent="0.25">
      <c r="B15" s="57"/>
      <c r="C15" s="18" t="s">
        <v>7</v>
      </c>
      <c r="D15" s="19" t="s">
        <v>21</v>
      </c>
      <c r="E15" s="11" t="s">
        <v>31</v>
      </c>
      <c r="F15" s="122">
        <f>F13+F14</f>
        <v>9000000</v>
      </c>
      <c r="G15" s="116"/>
      <c r="H15" s="122">
        <f>H14+H13</f>
        <v>11048956.25</v>
      </c>
      <c r="I15" s="116"/>
      <c r="J15" s="122">
        <f>J14+J13</f>
        <v>9792542.9732568748</v>
      </c>
      <c r="K15" s="116"/>
      <c r="L15" s="122">
        <f>L14+L13</f>
        <v>12983685.466531213</v>
      </c>
      <c r="M15" s="116"/>
      <c r="N15" s="122">
        <f>N14+N13</f>
        <v>11404033.183744367</v>
      </c>
      <c r="O15" s="124"/>
      <c r="P15" s="14"/>
      <c r="W15" s="14"/>
      <c r="X15" s="14"/>
      <c r="Y15" s="14"/>
      <c r="Z15" s="14"/>
    </row>
    <row r="16" spans="2:26" x14ac:dyDescent="0.25">
      <c r="B16" s="57"/>
      <c r="C16" s="126"/>
      <c r="D16" s="116"/>
      <c r="E16" s="116"/>
      <c r="F16" s="116"/>
      <c r="G16" s="116"/>
      <c r="H16" s="116"/>
      <c r="I16" s="116"/>
      <c r="J16" s="116"/>
      <c r="K16" s="116"/>
      <c r="L16" s="116"/>
      <c r="M16" s="116"/>
      <c r="N16" s="116"/>
      <c r="O16" s="124"/>
      <c r="P16" s="14"/>
      <c r="W16" s="14"/>
      <c r="X16" s="14"/>
      <c r="Y16" s="14"/>
      <c r="Z16" s="14"/>
    </row>
    <row r="17" spans="2:26" x14ac:dyDescent="0.25">
      <c r="B17" s="57"/>
      <c r="C17" s="18" t="s">
        <v>18</v>
      </c>
      <c r="D17" s="19" t="s">
        <v>22</v>
      </c>
      <c r="E17" s="146" t="s">
        <v>32</v>
      </c>
      <c r="F17" s="125">
        <f>(F13+F15)/2</f>
        <v>9500000</v>
      </c>
      <c r="G17" s="116"/>
      <c r="H17" s="125">
        <f>(H13+H15)/2</f>
        <v>9944060.625</v>
      </c>
      <c r="I17" s="116"/>
      <c r="J17" s="125">
        <f>(J13+J15)/2</f>
        <v>10336573.138437811</v>
      </c>
      <c r="K17" s="116"/>
      <c r="L17" s="125">
        <f>(L13+L15)/2</f>
        <v>11300615.128277168</v>
      </c>
      <c r="M17" s="116"/>
      <c r="N17" s="125">
        <f>(N13+N15)/2</f>
        <v>12037590.582841277</v>
      </c>
      <c r="O17" s="124"/>
      <c r="P17" s="14"/>
      <c r="W17" s="14"/>
      <c r="X17" s="14"/>
      <c r="Y17" s="14"/>
      <c r="Z17" s="14"/>
    </row>
    <row r="18" spans="2:26" x14ac:dyDescent="0.25">
      <c r="B18" s="57"/>
      <c r="C18" s="126"/>
      <c r="D18" s="116"/>
      <c r="E18" s="116"/>
      <c r="F18" s="116"/>
      <c r="G18" s="116"/>
      <c r="H18" s="116"/>
      <c r="I18" s="116"/>
      <c r="J18" s="116"/>
      <c r="K18" s="116"/>
      <c r="L18" s="127"/>
      <c r="M18" s="128"/>
      <c r="N18" s="127"/>
      <c r="O18" s="129"/>
      <c r="P18" s="14"/>
      <c r="W18" s="14"/>
      <c r="X18" s="14"/>
      <c r="Y18" s="14"/>
      <c r="Z18" s="14"/>
    </row>
    <row r="19" spans="2:26" x14ac:dyDescent="0.25">
      <c r="B19" s="57"/>
      <c r="C19" s="18" t="s">
        <v>34</v>
      </c>
      <c r="D19" s="19" t="s">
        <v>23</v>
      </c>
      <c r="E19" s="148" t="s">
        <v>55</v>
      </c>
      <c r="F19" s="122">
        <f>-F17*$E$6</f>
        <v>-47500</v>
      </c>
      <c r="G19" s="116"/>
      <c r="H19" s="122">
        <f t="shared" ref="H19" si="0">-H17*$E$6</f>
        <v>-49720.303124999999</v>
      </c>
      <c r="I19" s="116"/>
      <c r="J19" s="122">
        <f t="shared" ref="J19" si="1">-J17*$E$6</f>
        <v>-51682.865692189058</v>
      </c>
      <c r="K19" s="116"/>
      <c r="L19" s="122">
        <f t="shared" ref="L19" si="2">-L17*$E$6</f>
        <v>-56503.07564138584</v>
      </c>
      <c r="M19" s="116"/>
      <c r="N19" s="122">
        <f t="shared" ref="N19" si="3">-N17*$E$6</f>
        <v>-60187.952914206384</v>
      </c>
      <c r="O19" s="124"/>
      <c r="P19" s="14"/>
      <c r="W19" s="14"/>
      <c r="X19" s="14"/>
      <c r="Y19" s="14"/>
      <c r="Z19" s="14"/>
    </row>
    <row r="20" spans="2:26" x14ac:dyDescent="0.25">
      <c r="B20" s="57"/>
      <c r="C20" s="18" t="s">
        <v>56</v>
      </c>
      <c r="D20" s="19" t="s">
        <v>24</v>
      </c>
      <c r="E20" s="148" t="s">
        <v>66</v>
      </c>
      <c r="F20" s="122">
        <f>-F17*$E$9</f>
        <v>-19000</v>
      </c>
      <c r="G20" s="116"/>
      <c r="H20" s="122">
        <f t="shared" ref="H20" si="4">-H17*$E$9</f>
        <v>-19888.12125</v>
      </c>
      <c r="I20" s="116"/>
      <c r="J20" s="122">
        <f t="shared" ref="J20" si="5">-J17*$E$9</f>
        <v>-20673.146276875625</v>
      </c>
      <c r="K20" s="116"/>
      <c r="L20" s="122">
        <f t="shared" ref="L20" si="6">-L17*$E$9</f>
        <v>-22601.230256554336</v>
      </c>
      <c r="M20" s="116"/>
      <c r="N20" s="122">
        <f t="shared" ref="N20" si="7">-N17*$E$9</f>
        <v>-24075.181165682556</v>
      </c>
      <c r="O20" s="124"/>
      <c r="P20" s="14"/>
      <c r="Q20" s="14"/>
      <c r="R20" s="14"/>
      <c r="S20" s="14"/>
      <c r="T20" s="14"/>
      <c r="U20" s="14"/>
      <c r="V20" s="14"/>
      <c r="W20" s="14"/>
      <c r="X20" s="14"/>
      <c r="Y20" s="14"/>
      <c r="Z20" s="14"/>
    </row>
    <row r="21" spans="2:26" x14ac:dyDescent="0.25">
      <c r="B21" s="57"/>
      <c r="C21" s="18" t="s">
        <v>35</v>
      </c>
      <c r="D21" s="19" t="s">
        <v>25</v>
      </c>
      <c r="E21" s="13" t="s">
        <v>58</v>
      </c>
      <c r="F21" s="122">
        <f>-(F17+F19+F20)*$E$5</f>
        <v>-94335</v>
      </c>
      <c r="G21" s="116"/>
      <c r="H21" s="122">
        <f t="shared" ref="H21" si="8">-(H17+H19+H20)*$E$5</f>
        <v>-98744.522006250001</v>
      </c>
      <c r="I21" s="116"/>
      <c r="J21" s="122">
        <f t="shared" ref="J21" si="9">-(J17+J19+J20)*$E$5</f>
        <v>-102642.17126468747</v>
      </c>
      <c r="K21" s="116"/>
      <c r="L21" s="122">
        <f t="shared" ref="L21" si="10">-(L17+L19+L20)*$E$5</f>
        <v>-112215.10822379228</v>
      </c>
      <c r="M21" s="116"/>
      <c r="N21" s="122">
        <f t="shared" ref="N21" si="11">-(N17+N19+N20)*$E$5</f>
        <v>-119533.27448761389</v>
      </c>
      <c r="O21" s="124"/>
      <c r="P21" s="20"/>
      <c r="Q21" s="14"/>
      <c r="R21" s="14"/>
      <c r="S21" s="14"/>
      <c r="T21" s="14"/>
      <c r="U21" s="14"/>
      <c r="V21" s="14"/>
      <c r="W21" s="14"/>
      <c r="X21" s="14"/>
      <c r="Y21" s="14"/>
      <c r="Z21" s="14"/>
    </row>
    <row r="22" spans="2:26" x14ac:dyDescent="0.25">
      <c r="B22" s="57"/>
      <c r="C22" s="18" t="s">
        <v>104</v>
      </c>
      <c r="D22" s="19" t="s">
        <v>26</v>
      </c>
      <c r="E22" s="13" t="s">
        <v>59</v>
      </c>
      <c r="F22" s="122">
        <f>F21+F20+F19</f>
        <v>-160835</v>
      </c>
      <c r="G22" s="116"/>
      <c r="H22" s="122">
        <f t="shared" ref="H22" si="12">H21+H20+H19</f>
        <v>-168352.94638124999</v>
      </c>
      <c r="I22" s="116"/>
      <c r="J22" s="122">
        <f t="shared" ref="J22" si="13">J21+J20+J19</f>
        <v>-174998.18323375215</v>
      </c>
      <c r="K22" s="116"/>
      <c r="L22" s="122">
        <f t="shared" ref="L22" si="14">L21+L20+L19</f>
        <v>-191319.41412173244</v>
      </c>
      <c r="M22" s="116"/>
      <c r="N22" s="122">
        <f t="shared" ref="N22" si="15">N21+N20+N19</f>
        <v>-203796.4085675028</v>
      </c>
      <c r="O22" s="124"/>
      <c r="P22" s="14"/>
      <c r="Q22" s="14"/>
      <c r="R22" s="14"/>
      <c r="T22" s="14"/>
      <c r="U22" s="14"/>
      <c r="V22" s="14"/>
      <c r="W22" s="14"/>
      <c r="X22" s="14"/>
      <c r="Y22" s="14"/>
      <c r="Z22" s="14"/>
    </row>
    <row r="23" spans="2:26" ht="15.75" customHeight="1" x14ac:dyDescent="0.25">
      <c r="B23" s="57"/>
      <c r="C23" s="126"/>
      <c r="D23" s="116"/>
      <c r="E23" s="116"/>
      <c r="F23" s="116"/>
      <c r="G23" s="116"/>
      <c r="H23" s="116"/>
      <c r="I23" s="116"/>
      <c r="J23" s="116"/>
      <c r="K23" s="116"/>
      <c r="L23" s="116"/>
      <c r="M23" s="116"/>
      <c r="N23" s="116"/>
      <c r="O23" s="124"/>
      <c r="P23" s="14"/>
      <c r="Q23" s="14"/>
      <c r="R23" s="14"/>
      <c r="S23" s="14"/>
      <c r="T23" s="14"/>
      <c r="U23" s="14"/>
      <c r="V23" s="14"/>
      <c r="W23" s="14"/>
      <c r="X23" s="14"/>
      <c r="Y23" s="14"/>
      <c r="Z23" s="14"/>
    </row>
    <row r="24" spans="2:26" ht="27.75" customHeight="1" x14ac:dyDescent="0.25">
      <c r="B24" s="57"/>
      <c r="C24" s="18" t="s">
        <v>105</v>
      </c>
      <c r="D24" s="19" t="s">
        <v>27</v>
      </c>
      <c r="E24" s="147" t="s">
        <v>67</v>
      </c>
      <c r="F24" s="122">
        <f>F15+F22</f>
        <v>8839165</v>
      </c>
      <c r="G24" s="116"/>
      <c r="H24" s="122">
        <f>H15+H22</f>
        <v>10880603.30361875</v>
      </c>
      <c r="I24" s="116"/>
      <c r="J24" s="122">
        <f t="shared" ref="J24" si="16">J15+J22</f>
        <v>9617544.790023122</v>
      </c>
      <c r="K24" s="116"/>
      <c r="L24" s="122">
        <f t="shared" ref="L24" si="17">L15+L22</f>
        <v>12792366.052409481</v>
      </c>
      <c r="M24" s="116"/>
      <c r="N24" s="122">
        <f t="shared" ref="N24" si="18">N15+N22</f>
        <v>11200236.775176864</v>
      </c>
      <c r="O24" s="116"/>
      <c r="P24" s="14"/>
      <c r="Q24" s="27"/>
      <c r="R24" s="26"/>
      <c r="S24" s="26"/>
      <c r="T24" s="26"/>
      <c r="U24" s="25"/>
      <c r="V24" s="14"/>
      <c r="W24" s="14"/>
      <c r="X24" s="14"/>
      <c r="Y24" s="14"/>
      <c r="Z24" s="14"/>
    </row>
    <row r="25" spans="2:26" ht="30" x14ac:dyDescent="0.25">
      <c r="B25" s="57"/>
      <c r="C25" s="18" t="s">
        <v>120</v>
      </c>
      <c r="D25" s="19" t="s">
        <v>28</v>
      </c>
      <c r="E25" s="18"/>
      <c r="F25" s="122">
        <f>F13</f>
        <v>10000000</v>
      </c>
      <c r="G25" s="116"/>
      <c r="H25" s="122">
        <f>MAX(F25,F32)</f>
        <v>10000000</v>
      </c>
      <c r="I25" s="116"/>
      <c r="J25" s="122">
        <f>MAX(F25,H25,H32)</f>
        <v>10880603.30361875</v>
      </c>
      <c r="K25" s="116"/>
      <c r="L25" s="122">
        <f>MAX(F25,H25,J32,J25)</f>
        <v>10880603.30361875</v>
      </c>
      <c r="M25" s="116"/>
      <c r="N25" s="122">
        <f>MAX(F25,H25,L32,J25,L25)</f>
        <v>12671147.981938185</v>
      </c>
      <c r="O25" s="116"/>
      <c r="P25" s="14"/>
      <c r="Q25" s="14"/>
      <c r="R25" s="14"/>
      <c r="S25" s="14"/>
      <c r="T25" s="14"/>
      <c r="U25" s="25"/>
      <c r="V25" s="14"/>
      <c r="W25" s="14"/>
      <c r="X25" s="14"/>
      <c r="Y25" s="14"/>
      <c r="Z25" s="14"/>
    </row>
    <row r="26" spans="2:26" ht="30" x14ac:dyDescent="0.25">
      <c r="B26" s="57"/>
      <c r="C26" s="21" t="s">
        <v>121</v>
      </c>
      <c r="D26" s="19" t="s">
        <v>45</v>
      </c>
      <c r="E26" s="21"/>
      <c r="F26" s="122">
        <f>F25*$E$8</f>
        <v>1200000</v>
      </c>
      <c r="G26" s="116"/>
      <c r="H26" s="122">
        <f>H25*$E$8</f>
        <v>1200000</v>
      </c>
      <c r="I26" s="116"/>
      <c r="J26" s="122">
        <f>J25*$E$8</f>
        <v>1305672.3964342498</v>
      </c>
      <c r="K26" s="116"/>
      <c r="L26" s="122">
        <f>L25*$E$8</f>
        <v>1305672.3964342498</v>
      </c>
      <c r="M26" s="116"/>
      <c r="N26" s="122">
        <f>N25*$E$8</f>
        <v>1520537.7578325821</v>
      </c>
      <c r="O26" s="116"/>
      <c r="P26" s="14"/>
      <c r="Q26" s="24"/>
      <c r="R26" s="14"/>
      <c r="S26" s="14"/>
      <c r="T26" s="14"/>
      <c r="U26" s="14"/>
      <c r="V26" s="14"/>
      <c r="W26" s="14"/>
      <c r="X26" s="14"/>
      <c r="Y26" s="14"/>
      <c r="Z26" s="14"/>
    </row>
    <row r="27" spans="2:26" ht="15.75" customHeight="1" x14ac:dyDescent="0.25">
      <c r="B27" s="57"/>
      <c r="C27" s="21"/>
      <c r="D27" s="19"/>
      <c r="E27" s="21"/>
      <c r="F27" s="122"/>
      <c r="G27" s="116"/>
      <c r="H27" s="127"/>
      <c r="I27" s="128"/>
      <c r="J27" s="127"/>
      <c r="K27" s="128"/>
      <c r="L27" s="127"/>
      <c r="M27" s="128"/>
      <c r="N27" s="127"/>
      <c r="O27" s="128"/>
      <c r="P27" s="14"/>
      <c r="Q27" s="14"/>
      <c r="R27" s="14"/>
      <c r="S27" s="14"/>
      <c r="T27" s="14"/>
      <c r="U27" s="14"/>
      <c r="V27" s="14"/>
      <c r="W27" s="14"/>
      <c r="X27" s="14"/>
      <c r="Y27" s="14"/>
      <c r="Z27" s="14"/>
    </row>
    <row r="28" spans="2:26" ht="15.75" customHeight="1" x14ac:dyDescent="0.25">
      <c r="B28" s="57"/>
      <c r="C28" s="18" t="s">
        <v>101</v>
      </c>
      <c r="D28" s="19" t="s">
        <v>46</v>
      </c>
      <c r="E28" s="18" t="s">
        <v>122</v>
      </c>
      <c r="F28" s="142">
        <f>IF(IF(F24&lt;F25,0,(F24-(F25+F26)))&lt;0,0,IF(F24&lt;F25,0,(F24-(F25+F26))))</f>
        <v>0</v>
      </c>
      <c r="G28" s="143"/>
      <c r="H28" s="142">
        <f>IF(IF(H24&lt;H25,0,(H24-(H25+H26)))&lt;0,0,IF(H24&lt;H25,0,(H24-(H25+H26))))</f>
        <v>0</v>
      </c>
      <c r="I28" s="143"/>
      <c r="J28" s="142">
        <f t="shared" ref="J28" si="19">IF(J24&lt;J25,0,(J24-(J25+J26)))</f>
        <v>0</v>
      </c>
      <c r="K28" s="143"/>
      <c r="L28" s="142">
        <f t="shared" ref="L28" si="20">IF(L24&lt;L25,0,(L24-(L25+L26)))</f>
        <v>606090.3523564823</v>
      </c>
      <c r="M28" s="143"/>
      <c r="N28" s="142">
        <f t="shared" ref="N28" si="21">IF(N24&lt;N25,0,(N24-(N25+N26)))</f>
        <v>0</v>
      </c>
      <c r="O28" s="143"/>
      <c r="P28" s="14"/>
      <c r="Q28" s="14"/>
      <c r="R28" s="14"/>
      <c r="S28" s="14"/>
      <c r="T28" s="14"/>
      <c r="U28" s="14"/>
      <c r="V28" s="14"/>
      <c r="W28" s="14"/>
      <c r="X28" s="14"/>
      <c r="Y28" s="14"/>
      <c r="Z28" s="14"/>
    </row>
    <row r="29" spans="2:26" ht="15.75" customHeight="1" x14ac:dyDescent="0.25">
      <c r="B29" s="57"/>
      <c r="C29" s="18" t="s">
        <v>97</v>
      </c>
      <c r="D29" s="19" t="s">
        <v>47</v>
      </c>
      <c r="E29" s="18"/>
      <c r="F29" s="144" t="str">
        <f>IF(F30=0,"No","Yes")</f>
        <v>No</v>
      </c>
      <c r="G29" s="145"/>
      <c r="H29" s="144" t="str">
        <f t="shared" ref="H29" si="22">IF(H30=0,"No","Yes")</f>
        <v>No</v>
      </c>
      <c r="I29" s="145"/>
      <c r="J29" s="144" t="str">
        <f t="shared" ref="J29" si="23">IF(J30=0,"No","Yes")</f>
        <v>No</v>
      </c>
      <c r="K29" s="145"/>
      <c r="L29" s="144" t="str">
        <f t="shared" ref="L29" si="24">IF(L30=0,"No","Yes")</f>
        <v>Yes</v>
      </c>
      <c r="M29" s="145"/>
      <c r="N29" s="144" t="str">
        <f t="shared" ref="N29" si="25">IF(N30=0,"No","Yes")</f>
        <v>No</v>
      </c>
      <c r="O29" s="145"/>
      <c r="P29" s="20"/>
      <c r="Q29" s="20"/>
      <c r="R29" s="14"/>
      <c r="S29" s="14"/>
      <c r="T29" s="14"/>
      <c r="U29" s="20"/>
      <c r="V29" s="14"/>
      <c r="W29" s="14"/>
      <c r="X29" s="14"/>
      <c r="Y29" s="14"/>
      <c r="Z29" s="14"/>
    </row>
    <row r="30" spans="2:26" ht="15.75" customHeight="1" x14ac:dyDescent="0.25">
      <c r="B30" s="57"/>
      <c r="C30" s="21" t="s">
        <v>48</v>
      </c>
      <c r="D30" s="19" t="s">
        <v>49</v>
      </c>
      <c r="E30" s="21" t="s">
        <v>123</v>
      </c>
      <c r="F30" s="142">
        <f>F28*-$E$7</f>
        <v>0</v>
      </c>
      <c r="G30" s="143"/>
      <c r="H30" s="142">
        <f t="shared" ref="H30" si="26">H28*-$E$7</f>
        <v>0</v>
      </c>
      <c r="I30" s="143"/>
      <c r="J30" s="142">
        <f t="shared" ref="J30" si="27">J28*-$E$7</f>
        <v>0</v>
      </c>
      <c r="K30" s="143"/>
      <c r="L30" s="142">
        <f t="shared" ref="L30" si="28">L28*-$E$7</f>
        <v>-121218.07047129647</v>
      </c>
      <c r="M30" s="143"/>
      <c r="N30" s="142">
        <f t="shared" ref="N30" si="29">N28*-$E$7</f>
        <v>0</v>
      </c>
      <c r="O30" s="143"/>
      <c r="P30" s="14"/>
      <c r="Q30" s="14"/>
      <c r="R30" s="14"/>
      <c r="S30" s="14"/>
      <c r="T30" s="14"/>
      <c r="U30" s="14"/>
      <c r="V30" s="14"/>
      <c r="W30" s="14"/>
      <c r="X30" s="14"/>
      <c r="Y30" s="14"/>
      <c r="Z30" s="14"/>
    </row>
    <row r="31" spans="2:26" ht="15.75" customHeight="1" x14ac:dyDescent="0.25">
      <c r="B31" s="57"/>
      <c r="C31" s="126"/>
      <c r="D31" s="116"/>
      <c r="E31" s="116"/>
      <c r="F31" s="116"/>
      <c r="G31" s="116"/>
      <c r="H31" s="116"/>
      <c r="I31" s="116"/>
      <c r="J31" s="116"/>
      <c r="K31" s="116"/>
      <c r="L31" s="116"/>
      <c r="M31" s="116"/>
      <c r="N31" s="116"/>
      <c r="O31" s="124"/>
      <c r="P31" s="14"/>
      <c r="Q31" s="14"/>
      <c r="R31" s="14"/>
      <c r="S31" s="14"/>
      <c r="T31" s="14"/>
      <c r="U31" s="14"/>
      <c r="V31" s="14"/>
      <c r="W31" s="14"/>
      <c r="X31" s="14"/>
      <c r="Y31" s="14"/>
      <c r="Z31" s="14"/>
    </row>
    <row r="32" spans="2:26" ht="33" customHeight="1" x14ac:dyDescent="0.25">
      <c r="B32" s="57"/>
      <c r="C32" s="18" t="s">
        <v>54</v>
      </c>
      <c r="D32" s="19" t="s">
        <v>50</v>
      </c>
      <c r="E32" s="18" t="s">
        <v>77</v>
      </c>
      <c r="F32" s="130">
        <f>F24+F30</f>
        <v>8839165</v>
      </c>
      <c r="G32" s="116"/>
      <c r="H32" s="130">
        <f t="shared" ref="H32" si="30">H24+H30</f>
        <v>10880603.30361875</v>
      </c>
      <c r="I32" s="116"/>
      <c r="J32" s="130">
        <f t="shared" ref="J32" si="31">J24+J30</f>
        <v>9617544.790023122</v>
      </c>
      <c r="K32" s="116"/>
      <c r="L32" s="130">
        <f t="shared" ref="L32" si="32">L24+L30</f>
        <v>12671147.981938185</v>
      </c>
      <c r="M32" s="116"/>
      <c r="N32" s="130">
        <f t="shared" ref="N32" si="33">N24+N30</f>
        <v>11200236.775176864</v>
      </c>
      <c r="O32" s="116"/>
      <c r="P32" s="14"/>
      <c r="Q32" s="14"/>
      <c r="R32" s="14"/>
      <c r="S32" s="14"/>
      <c r="T32" s="14"/>
      <c r="U32" s="14"/>
      <c r="V32" s="14"/>
      <c r="W32" s="14"/>
      <c r="X32" s="14"/>
      <c r="Y32" s="14"/>
      <c r="Z32" s="14"/>
    </row>
    <row r="33" spans="2:26" ht="29.25" customHeight="1" x14ac:dyDescent="0.25">
      <c r="B33" s="57"/>
      <c r="C33" s="18" t="s">
        <v>10</v>
      </c>
      <c r="D33" s="19" t="s">
        <v>52</v>
      </c>
      <c r="E33" s="147" t="s">
        <v>78</v>
      </c>
      <c r="F33" s="134">
        <f>(F32-F13)/F13</f>
        <v>-0.11608350000000001</v>
      </c>
      <c r="G33" s="116"/>
      <c r="H33" s="134">
        <f>(H32-H13)/H13</f>
        <v>0.23095374999999996</v>
      </c>
      <c r="I33" s="116"/>
      <c r="J33" s="134">
        <f>(J32-J13)/J13</f>
        <v>-0.11608350000000005</v>
      </c>
      <c r="K33" s="116"/>
      <c r="L33" s="134">
        <f>(L32-L13)/L13</f>
        <v>0.31750340222826473</v>
      </c>
      <c r="M33" s="116"/>
      <c r="N33" s="134">
        <f>(N32-N13)/N13</f>
        <v>-0.11608349999999998</v>
      </c>
      <c r="O33" s="124"/>
      <c r="P33" s="14"/>
      <c r="Q33" s="14"/>
      <c r="R33" s="14"/>
      <c r="S33" s="14"/>
      <c r="T33" s="14"/>
      <c r="U33" s="14"/>
      <c r="V33" s="14"/>
      <c r="W33" s="14"/>
      <c r="X33" s="14"/>
      <c r="Y33" s="14"/>
      <c r="Z33" s="14"/>
    </row>
    <row r="34" spans="2:26" ht="15.75" customHeight="1" x14ac:dyDescent="0.25">
      <c r="B34" s="57"/>
      <c r="C34" s="126"/>
      <c r="D34" s="116"/>
      <c r="E34" s="116"/>
      <c r="F34" s="116"/>
      <c r="G34" s="116"/>
      <c r="H34" s="116"/>
      <c r="I34" s="116"/>
      <c r="J34" s="116"/>
      <c r="K34" s="116"/>
      <c r="L34" s="116"/>
      <c r="M34" s="116"/>
      <c r="N34" s="116"/>
      <c r="O34" s="124"/>
      <c r="P34" s="14"/>
      <c r="Q34" s="14"/>
      <c r="R34" s="14"/>
      <c r="S34" s="14"/>
      <c r="T34" s="14"/>
      <c r="U34" s="14"/>
      <c r="V34" s="14"/>
      <c r="W34" s="14"/>
      <c r="X34" s="14"/>
      <c r="Y34" s="14"/>
      <c r="Z34" s="14"/>
    </row>
    <row r="35" spans="2:26" ht="15.75" customHeight="1" x14ac:dyDescent="0.25">
      <c r="B35" s="57"/>
      <c r="C35" s="18" t="s">
        <v>110</v>
      </c>
      <c r="D35" s="19" t="s">
        <v>96</v>
      </c>
      <c r="E35" s="18" t="s">
        <v>124</v>
      </c>
      <c r="F35" s="122">
        <f>MAX(F25,F32)</f>
        <v>10000000</v>
      </c>
      <c r="G35" s="116"/>
      <c r="H35" s="122">
        <f>MAX(H25,H32)</f>
        <v>10880603.30361875</v>
      </c>
      <c r="I35" s="116"/>
      <c r="J35" s="122">
        <f>MAX(J25,J32)</f>
        <v>10880603.30361875</v>
      </c>
      <c r="K35" s="116"/>
      <c r="L35" s="122">
        <f>MAX(L25,L32)</f>
        <v>12671147.981938185</v>
      </c>
      <c r="M35" s="116"/>
      <c r="N35" s="122">
        <f>MAX(N25,N32)</f>
        <v>12671147.981938185</v>
      </c>
      <c r="O35" s="116"/>
      <c r="P35" s="17"/>
      <c r="Q35" s="14"/>
      <c r="R35" s="14"/>
      <c r="S35" s="14"/>
      <c r="T35" s="14"/>
      <c r="U35" s="14"/>
      <c r="V35" s="14"/>
      <c r="W35" s="14"/>
      <c r="X35" s="14"/>
      <c r="Y35" s="14"/>
      <c r="Z35" s="14"/>
    </row>
    <row r="36" spans="2:26" ht="15.75" customHeight="1" thickBot="1" x14ac:dyDescent="0.3">
      <c r="B36" s="57"/>
      <c r="C36" s="76"/>
      <c r="D36" s="16"/>
      <c r="E36" s="15"/>
      <c r="F36" s="14"/>
      <c r="G36" s="14"/>
      <c r="H36" s="14"/>
      <c r="I36" s="14"/>
      <c r="J36" s="14"/>
      <c r="K36" s="14"/>
      <c r="L36" s="14"/>
      <c r="M36" s="14"/>
      <c r="N36" s="14"/>
      <c r="O36" s="59"/>
      <c r="P36" s="14"/>
      <c r="Q36" s="14"/>
      <c r="R36" s="14"/>
      <c r="S36" s="14"/>
      <c r="T36" s="14"/>
      <c r="U36" s="14"/>
      <c r="V36" s="14"/>
      <c r="W36" s="14"/>
      <c r="X36" s="14"/>
      <c r="Y36" s="14"/>
      <c r="Z36" s="14"/>
    </row>
    <row r="37" spans="2:26" ht="15.75" customHeight="1" thickBot="1" x14ac:dyDescent="0.3">
      <c r="B37" s="131" t="s">
        <v>88</v>
      </c>
      <c r="C37" s="132"/>
      <c r="D37" s="132"/>
      <c r="E37" s="132"/>
      <c r="F37" s="132"/>
      <c r="G37" s="132"/>
      <c r="H37" s="132"/>
      <c r="I37" s="132"/>
      <c r="J37" s="132"/>
      <c r="K37" s="132"/>
      <c r="L37" s="132"/>
      <c r="M37" s="132"/>
      <c r="N37" s="132"/>
      <c r="O37" s="133"/>
      <c r="P37" s="14"/>
      <c r="Q37" s="14"/>
      <c r="R37" s="14"/>
      <c r="S37" s="14"/>
      <c r="T37" s="14"/>
      <c r="U37" s="14"/>
      <c r="V37" s="14"/>
      <c r="W37" s="14"/>
      <c r="X37" s="14"/>
      <c r="Y37" s="14"/>
      <c r="Z37" s="14"/>
    </row>
    <row r="38" spans="2:26" x14ac:dyDescent="0.25">
      <c r="B38" s="139">
        <v>1</v>
      </c>
      <c r="C38" s="14" t="s">
        <v>111</v>
      </c>
      <c r="D38" s="16"/>
      <c r="E38" s="15"/>
      <c r="F38" s="14"/>
      <c r="G38" s="14"/>
      <c r="H38" s="14"/>
      <c r="I38" s="14"/>
      <c r="J38" s="14"/>
      <c r="K38" s="14"/>
      <c r="L38" s="14"/>
      <c r="M38" s="14"/>
      <c r="N38" s="14"/>
      <c r="O38" s="14"/>
      <c r="P38" s="14"/>
      <c r="Q38" s="14"/>
      <c r="R38" s="14"/>
      <c r="S38" s="14"/>
      <c r="T38" s="14"/>
      <c r="U38" s="14"/>
      <c r="V38" s="14"/>
      <c r="W38" s="14"/>
      <c r="X38" s="14"/>
      <c r="Y38" s="14"/>
      <c r="Z38" s="14"/>
    </row>
    <row r="39" spans="2:26" ht="15.75" customHeight="1" x14ac:dyDescent="0.25">
      <c r="B39" s="139">
        <f>+B38+1</f>
        <v>2</v>
      </c>
      <c r="C39" s="14" t="s">
        <v>81</v>
      </c>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39">
        <f t="shared" ref="B40:B49" si="34">+B39+1</f>
        <v>3</v>
      </c>
      <c r="C40" s="14" t="s">
        <v>60</v>
      </c>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39">
        <f t="shared" si="34"/>
        <v>4</v>
      </c>
      <c r="C41" s="14" t="s">
        <v>37</v>
      </c>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39">
        <f t="shared" si="34"/>
        <v>5</v>
      </c>
      <c r="C42" s="14" t="s">
        <v>62</v>
      </c>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39">
        <f t="shared" si="34"/>
        <v>6</v>
      </c>
      <c r="C43" s="14" t="s">
        <v>51</v>
      </c>
      <c r="D43" s="16"/>
      <c r="E43" s="15"/>
      <c r="F43" s="14"/>
      <c r="G43" s="14"/>
      <c r="H43" s="14"/>
      <c r="I43" s="14"/>
      <c r="J43" s="14"/>
      <c r="K43" s="14"/>
      <c r="L43" s="14"/>
      <c r="M43" s="14"/>
      <c r="N43" s="14"/>
      <c r="O43" s="14"/>
      <c r="P43" s="14"/>
      <c r="Q43" s="14"/>
      <c r="R43" s="14"/>
      <c r="S43" s="14"/>
      <c r="T43" s="14"/>
      <c r="U43" s="14"/>
      <c r="V43" s="14"/>
      <c r="W43" s="14"/>
      <c r="X43" s="14"/>
      <c r="Y43" s="14"/>
      <c r="Z43" s="14"/>
    </row>
    <row r="44" spans="2:26" x14ac:dyDescent="0.25">
      <c r="B44" s="139">
        <f t="shared" si="34"/>
        <v>7</v>
      </c>
      <c r="C44" s="14" t="s">
        <v>83</v>
      </c>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39">
        <f t="shared" si="34"/>
        <v>8</v>
      </c>
      <c r="C45" s="14" t="s">
        <v>84</v>
      </c>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39">
        <f t="shared" si="34"/>
        <v>9</v>
      </c>
      <c r="C46" s="14" t="s">
        <v>82</v>
      </c>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39">
        <f t="shared" si="34"/>
        <v>10</v>
      </c>
      <c r="C47" s="14" t="s">
        <v>85</v>
      </c>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39">
        <f t="shared" si="34"/>
        <v>11</v>
      </c>
      <c r="C48" s="14" t="s">
        <v>64</v>
      </c>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39">
        <f t="shared" si="34"/>
        <v>12</v>
      </c>
      <c r="C49" s="14" t="s">
        <v>100</v>
      </c>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5"/>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5"/>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sheetData>
  <mergeCells count="104">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L22:M22"/>
    <mergeCell ref="N22:O22"/>
    <mergeCell ref="C23:O23"/>
    <mergeCell ref="B37:O37"/>
    <mergeCell ref="F35:G35"/>
    <mergeCell ref="H35:I35"/>
    <mergeCell ref="N29:O29"/>
    <mergeCell ref="F29:G29"/>
    <mergeCell ref="F27:G27"/>
    <mergeCell ref="J35:K35"/>
    <mergeCell ref="L35:M35"/>
    <mergeCell ref="N35:O35"/>
    <mergeCell ref="L33:M33"/>
    <mergeCell ref="N33:O33"/>
    <mergeCell ref="C34:O34"/>
    <mergeCell ref="F33:G33"/>
    <mergeCell ref="H33:I33"/>
    <mergeCell ref="J33:K33"/>
    <mergeCell ref="L28:M28"/>
    <mergeCell ref="N28:O28"/>
    <mergeCell ref="H30:I30"/>
    <mergeCell ref="N30:O30"/>
    <mergeCell ref="F30:G30"/>
    <mergeCell ref="J30:K30"/>
    <mergeCell ref="L30:M30"/>
    <mergeCell ref="H29:I29"/>
    <mergeCell ref="J29:K29"/>
    <mergeCell ref="L29:M29"/>
    <mergeCell ref="C16:O16"/>
    <mergeCell ref="L19:M19"/>
    <mergeCell ref="N19:O19"/>
    <mergeCell ref="C31:O31"/>
    <mergeCell ref="H32:I32"/>
    <mergeCell ref="J32:K32"/>
    <mergeCell ref="L32:M32"/>
    <mergeCell ref="N32:O32"/>
    <mergeCell ref="F28:G28"/>
    <mergeCell ref="H28:I28"/>
    <mergeCell ref="J28:K28"/>
    <mergeCell ref="J19:K19"/>
    <mergeCell ref="F20:G20"/>
    <mergeCell ref="H20:I20"/>
    <mergeCell ref="J20:K20"/>
    <mergeCell ref="H21:I21"/>
    <mergeCell ref="J21:K21"/>
    <mergeCell ref="F21:G21"/>
    <mergeCell ref="L21:M21"/>
    <mergeCell ref="N21:O21"/>
    <mergeCell ref="F32:G32"/>
    <mergeCell ref="F22:G22"/>
    <mergeCell ref="H22:I22"/>
    <mergeCell ref="J22:K22"/>
    <mergeCell ref="L20:M20"/>
    <mergeCell ref="N20:O20"/>
    <mergeCell ref="F17:G17"/>
    <mergeCell ref="H17:I17"/>
    <mergeCell ref="J17:K17"/>
    <mergeCell ref="L17:M17"/>
    <mergeCell ref="N17:O17"/>
    <mergeCell ref="C18:K18"/>
    <mergeCell ref="F19:G19"/>
    <mergeCell ref="H19:I19"/>
    <mergeCell ref="L18:M18"/>
    <mergeCell ref="N18:O1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F2F7-4E22-4287-A060-51F26B570890}">
  <dimension ref="B2:G9"/>
  <sheetViews>
    <sheetView workbookViewId="0"/>
  </sheetViews>
  <sheetFormatPr defaultRowHeight="15" x14ac:dyDescent="0.25"/>
  <cols>
    <col min="2" max="2" width="21.7109375" bestFit="1" customWidth="1"/>
    <col min="3" max="7" width="10.7109375" bestFit="1" customWidth="1"/>
  </cols>
  <sheetData>
    <row r="2" spans="2:7" x14ac:dyDescent="0.25">
      <c r="C2" s="139">
        <v>1</v>
      </c>
      <c r="D2" s="139">
        <f>+C2+1</f>
        <v>2</v>
      </c>
      <c r="E2" s="139">
        <f>+D2+1</f>
        <v>3</v>
      </c>
      <c r="F2" s="139">
        <f>+E2+1</f>
        <v>4</v>
      </c>
      <c r="G2" s="139">
        <f>+F2+1</f>
        <v>5</v>
      </c>
    </row>
    <row r="3" spans="2:7" x14ac:dyDescent="0.25">
      <c r="B3" t="s">
        <v>113</v>
      </c>
      <c r="C3" s="135">
        <f>+'Multi Year- Hybrid Fees'!E4</f>
        <v>10000000</v>
      </c>
      <c r="D3" s="135">
        <f>C9</f>
        <v>8839165</v>
      </c>
      <c r="E3" s="135">
        <f>D9</f>
        <v>10880603.30361875</v>
      </c>
      <c r="F3" s="135">
        <f>E9</f>
        <v>9617544.790023122</v>
      </c>
      <c r="G3" s="135">
        <f>F9</f>
        <v>12671147.981938185</v>
      </c>
    </row>
    <row r="4" spans="2:7" x14ac:dyDescent="0.25">
      <c r="B4" t="s">
        <v>114</v>
      </c>
      <c r="C4" s="135">
        <f>+C3*'Multi Year- Hybrid Fees'!$G$12</f>
        <v>-1000000</v>
      </c>
      <c r="D4" s="135">
        <f>+D3*'Multi Year- Hybrid Fees'!$I$12</f>
        <v>2209791.25</v>
      </c>
      <c r="E4" s="135">
        <f>+E3*'Multi Year- Hybrid Fees'!$K$12</f>
        <v>-1088060.330361875</v>
      </c>
      <c r="F4" s="135">
        <f>+F3*'Multi Year- Hybrid Fees'!$M$12</f>
        <v>3366140.6765080923</v>
      </c>
      <c r="G4" s="135">
        <f>+G3*'Multi Year- Hybrid Fees'!$O$12</f>
        <v>-1267114.7981938187</v>
      </c>
    </row>
    <row r="5" spans="2:7" x14ac:dyDescent="0.25">
      <c r="B5" t="s">
        <v>118</v>
      </c>
      <c r="C5" s="135">
        <f>((C3+(C3+C4))/2*('Multi Year- Hybrid Fees'!$E$6+'Multi Year- Hybrid Fees'!$E$9)*-1)</f>
        <v>-66500</v>
      </c>
      <c r="D5" s="135">
        <f>((D3+(D3+D4))/2*('Multi Year- Hybrid Fees'!$E$6+'Multi Year- Hybrid Fees'!$E$9)*-1)</f>
        <v>-69608.424375000002</v>
      </c>
      <c r="E5" s="135">
        <f>((E3+(E3+E4))/2*('Multi Year- Hybrid Fees'!$E$6+'Multi Year- Hybrid Fees'!$E$9)*-1)</f>
        <v>-72356.011969064682</v>
      </c>
      <c r="F5" s="135">
        <f>((F3+(F3+F4))/2*('Multi Year- Hybrid Fees'!$E$6+'Multi Year- Hybrid Fees'!$E$9)*-1)</f>
        <v>-79104.305897940169</v>
      </c>
      <c r="G5" s="135">
        <f>((G3+(G3+G4))/2*('Multi Year- Hybrid Fees'!$E$6+'Multi Year- Hybrid Fees'!$E$9)*-1)</f>
        <v>-84263.134079888943</v>
      </c>
    </row>
    <row r="6" spans="2:7" x14ac:dyDescent="0.25">
      <c r="B6" t="s">
        <v>119</v>
      </c>
      <c r="C6" s="141">
        <f>-((C3+(C3+C4))/2+C5)*'Multi Year- Hybrid Fees'!$E$5</f>
        <v>-94335</v>
      </c>
      <c r="D6" s="141">
        <f>-((D3+(D3+D4))/2+D5)*'Multi Year- Hybrid Fees'!$E$5</f>
        <v>-98744.522006250001</v>
      </c>
      <c r="E6" s="141">
        <f>-((E3+(E3+E4))/2+E5)*'Multi Year- Hybrid Fees'!$E$5</f>
        <v>-102642.17126468747</v>
      </c>
      <c r="F6" s="141">
        <f>-((F3+(F3+F4))/2+F5)*'Multi Year- Hybrid Fees'!$E$5</f>
        <v>-112215.10822379228</v>
      </c>
      <c r="G6" s="141">
        <f>-((G3+(G3+G4))/2+G5)*'Multi Year- Hybrid Fees'!$E$5</f>
        <v>-119533.27448761389</v>
      </c>
    </row>
    <row r="7" spans="2:7" x14ac:dyDescent="0.25">
      <c r="B7" s="137" t="s">
        <v>116</v>
      </c>
      <c r="C7" s="136">
        <f>SUM(C3:C6)</f>
        <v>8839165</v>
      </c>
      <c r="D7" s="136">
        <f>SUM(D3:D6)</f>
        <v>10880603.30361875</v>
      </c>
      <c r="E7" s="136">
        <f>SUM(E3:E6)</f>
        <v>9617544.790023122</v>
      </c>
      <c r="F7" s="136">
        <f>SUM(F3:F6)</f>
        <v>12792366.052409481</v>
      </c>
      <c r="G7" s="136">
        <f>SUM(G3:G6)</f>
        <v>11200236.775176864</v>
      </c>
    </row>
    <row r="8" spans="2:7" x14ac:dyDescent="0.25">
      <c r="B8" s="138" t="s">
        <v>115</v>
      </c>
      <c r="C8" s="140">
        <f>IF(C7&gt;(C3*(1+'Multi Year- Hybrid Fees'!$E$8)),(C7-(C3*(1+'Multi Year- Hybrid Fees'!$E$8))*'Multi Year- Hybrid Fees'!$E$7),0)</f>
        <v>0</v>
      </c>
      <c r="D8" s="140">
        <f>IF(IF(D7&gt;MAX(C3,C7),(D7-(MAX(C7,C3)*(1+'Multi Year- Hybrid Fees'!$E$8)))*'Multi Year- Hybrid Fees'!$E$7,0)&lt;0,0,IF(D7&gt;MAX(C3,C7),(D7-(MAX(C7,C3)*(1+'Multi Year- Hybrid Fees'!$E$8)))*'Multi Year- Hybrid Fees'!$E$7,0))</f>
        <v>0</v>
      </c>
      <c r="E8" s="140">
        <f>IF(IF(E7&gt;MAX(D3,D7),(E7-(MAX(D7,D3)*(1+'Multi Year- Hybrid Fees'!$E$8)))*'Multi Year- Hybrid Fees'!$E$7,0)&lt;0,0,IF(E7&gt;MAX(D3,D7),(E7-(MAX(D7,D3)*(1+'Multi Year- Hybrid Fees'!$E$8)))*'Multi Year- Hybrid Fees'!$E$7,0))</f>
        <v>0</v>
      </c>
      <c r="F8" s="140">
        <f>IF(IF(F7&gt;MAX(E3,E7),(F7-(MAX(E7,E3)*(1+'Multi Year- Hybrid Fees'!$E$8)))*'Multi Year- Hybrid Fees'!$E$7,0)&lt;0,0,IF(F7&gt;MAX(E3,E7),(F7-(MAX(E7,E3)*(1+'Multi Year- Hybrid Fees'!$E$8)))*'Multi Year- Hybrid Fees'!$E$7,0))</f>
        <v>121218.07047129609</v>
      </c>
      <c r="G8" s="140">
        <f>IF(IF(G7&gt;MAX(F3,F7),(G7-(MAX(F7,F3)*(1+'Multi Year- Hybrid Fees'!$E$8)))*'Multi Year- Hybrid Fees'!$E$7,0)&lt;0,0,IF(G7&gt;MAX(F3,F7),(G7-(MAX(F7,F3)*(1+'Multi Year- Hybrid Fees'!$E$8)))*'Multi Year- Hybrid Fees'!$E$7,0))</f>
        <v>0</v>
      </c>
    </row>
    <row r="9" spans="2:7" x14ac:dyDescent="0.25">
      <c r="B9" s="137" t="s">
        <v>117</v>
      </c>
      <c r="C9" s="136">
        <f>+C7-C8</f>
        <v>8839165</v>
      </c>
      <c r="D9" s="136">
        <f>+D7-D8</f>
        <v>10880603.30361875</v>
      </c>
      <c r="E9" s="136">
        <f>+E7-E8</f>
        <v>9617544.790023122</v>
      </c>
      <c r="F9" s="136">
        <f>+F7-F8</f>
        <v>12671147.981938185</v>
      </c>
      <c r="G9" s="136">
        <f>+G7-G8</f>
        <v>11200236.775176864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Year-Hybrid Fees</vt:lpstr>
      <vt:lpstr>One Year- Variable Fees</vt:lpstr>
      <vt:lpstr>Multi Year- Hybrid Fees</vt:lpstr>
      <vt:lpstr>Control Sheet</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Chetan Bhoite</cp:lastModifiedBy>
  <cp:lastPrinted>2024-07-29T09:59:59Z</cp:lastPrinted>
  <dcterms:created xsi:type="dcterms:W3CDTF">2024-06-06T09:43:50Z</dcterms:created>
  <dcterms:modified xsi:type="dcterms:W3CDTF">2024-09-30T10:23:31Z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